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4.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fileSharing readOnlyRecommended="1"/>
  <workbookPr/>
  <mc:AlternateContent xmlns:mc="http://schemas.openxmlformats.org/markup-compatibility/2006">
    <mc:Choice Requires="x15">
      <x15ac:absPath xmlns:x15ac="http://schemas.microsoft.com/office/spreadsheetml/2010/11/ac" url="C:\Users\gogorman\Documents\"/>
    </mc:Choice>
  </mc:AlternateContent>
  <xr:revisionPtr revIDLastSave="0" documentId="8_{DB37D345-5B99-461C-AA52-1D41C7D41340}" xr6:coauthVersionLast="43" xr6:coauthVersionMax="43" xr10:uidLastSave="{00000000-0000-0000-0000-000000000000}"/>
  <bookViews>
    <workbookView xWindow="20370" yWindow="-120" windowWidth="29040" windowHeight="16440" tabRatio="500" xr2:uid="{00000000-000D-0000-FFFF-FFFF00000000}"/>
  </bookViews>
  <sheets>
    <sheet name="Fig. 1 Corp Tax Rev" sheetId="3" r:id="rId1"/>
    <sheet name="Figs. 2-5 Global ETR" sheetId="10" r:id="rId2"/>
    <sheet name="Fig. 6 Taxable Income" sheetId="11" r:id="rId3"/>
    <sheet name="Fig. 7 TaxBreaksPastOffshore" sheetId="12" r:id="rId4"/>
    <sheet name="Fig. 8-11 Profit Margins" sheetId="13" r:id="rId5"/>
    <sheet name="Subsidiary List" sheetId="14" r:id="rId6"/>
    <sheet name="Fig. 12 TCJATaxBreaksTotal" sheetId="6" r:id="rId7"/>
    <sheet name="HumanPriceofTaxBreaks" sheetId="8" r:id="rId8"/>
    <sheet name="Figs. 13-17" sheetId="4" r:id="rId9"/>
    <sheet name="MerckSECForm4" sheetId="15" r:id="rId10"/>
    <sheet name="LobbyingExpenditures" sheetId="1" r:id="rId11"/>
  </sheets>
  <definedNames>
    <definedName name="_edn1" localSheetId="9">MerckSECForm4!$A$14</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 i="3" l="1"/>
  <c r="D9" i="6"/>
  <c r="E9" i="6"/>
  <c r="D8" i="6"/>
  <c r="E8" i="6"/>
  <c r="D7" i="6"/>
  <c r="E7" i="6"/>
  <c r="D6" i="6"/>
  <c r="E6" i="6"/>
  <c r="B60" i="8"/>
  <c r="B37" i="8"/>
  <c r="B25" i="8"/>
  <c r="B26" i="8"/>
  <c r="B8" i="8"/>
  <c r="B9" i="8"/>
  <c r="D13" i="15"/>
  <c r="K77" i="4"/>
  <c r="M91" i="4"/>
  <c r="L90" i="4"/>
  <c r="K90" i="4"/>
  <c r="M90" i="4"/>
  <c r="M89" i="4"/>
  <c r="M88" i="4"/>
  <c r="M67" i="4"/>
  <c r="L66" i="4"/>
  <c r="K66" i="4"/>
  <c r="M66" i="4"/>
  <c r="M65" i="4"/>
  <c r="M64" i="4"/>
  <c r="M83" i="4"/>
  <c r="L82" i="4"/>
  <c r="K82" i="4"/>
  <c r="M82" i="4"/>
  <c r="M81" i="4"/>
  <c r="M80" i="4"/>
  <c r="M75" i="4"/>
  <c r="L74" i="4"/>
  <c r="K74" i="4"/>
  <c r="M74" i="4"/>
  <c r="M72" i="4"/>
  <c r="M73" i="4"/>
  <c r="I12" i="1"/>
  <c r="B9" i="1"/>
  <c r="C9" i="1"/>
  <c r="D9" i="1"/>
  <c r="E9" i="1"/>
  <c r="F9" i="1"/>
  <c r="G9" i="1"/>
  <c r="H9" i="1"/>
  <c r="I9" i="1"/>
  <c r="I8" i="1"/>
  <c r="I7" i="1"/>
  <c r="I6" i="1"/>
  <c r="D21" i="3"/>
  <c r="D20" i="3"/>
  <c r="D19" i="3"/>
  <c r="D18" i="3"/>
  <c r="D17" i="3"/>
  <c r="D16" i="3"/>
  <c r="D15" i="3"/>
  <c r="D14" i="3"/>
  <c r="D13" i="3"/>
  <c r="D12" i="3"/>
  <c r="B20" i="8"/>
  <c r="B16" i="8"/>
  <c r="B14" i="8"/>
  <c r="B18" i="8"/>
  <c r="D44" i="11"/>
  <c r="D42" i="11"/>
  <c r="D43" i="11"/>
  <c r="D46" i="11"/>
  <c r="B10" i="6"/>
  <c r="C10" i="6"/>
  <c r="D10" i="6"/>
  <c r="B56" i="8"/>
  <c r="B90" i="4"/>
  <c r="C90" i="4"/>
  <c r="D90" i="4"/>
  <c r="E90" i="4"/>
  <c r="F90" i="4"/>
  <c r="G90" i="4"/>
  <c r="H90" i="4"/>
  <c r="I90" i="4"/>
  <c r="J90" i="4"/>
  <c r="B82" i="4"/>
  <c r="C82" i="4"/>
  <c r="D82" i="4"/>
  <c r="E82" i="4"/>
  <c r="F82" i="4"/>
  <c r="G82" i="4"/>
  <c r="H82" i="4"/>
  <c r="I82" i="4"/>
  <c r="J82" i="4"/>
  <c r="B74" i="4"/>
  <c r="C74" i="4"/>
  <c r="D74" i="4"/>
  <c r="E74" i="4"/>
  <c r="F74" i="4"/>
  <c r="G74" i="4"/>
  <c r="H74" i="4"/>
  <c r="I74" i="4"/>
  <c r="J74" i="4"/>
  <c r="J66" i="4"/>
  <c r="I66" i="4"/>
  <c r="H66" i="4"/>
  <c r="G66" i="4"/>
  <c r="F66" i="4"/>
  <c r="E66" i="4"/>
  <c r="D66" i="4"/>
  <c r="C66" i="4"/>
  <c r="B66" i="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12" i="14"/>
  <c r="B13" i="14"/>
  <c r="B14" i="14"/>
  <c r="J6" i="14"/>
  <c r="H6" i="14"/>
  <c r="F6" i="14"/>
  <c r="D6" i="14"/>
  <c r="C8" i="13"/>
  <c r="C36" i="13"/>
  <c r="C63" i="13"/>
  <c r="C90" i="13"/>
  <c r="F97" i="13"/>
  <c r="F90" i="13"/>
  <c r="E97" i="13"/>
  <c r="I90" i="13"/>
  <c r="D97" i="13"/>
  <c r="L90" i="13"/>
  <c r="C97" i="13"/>
  <c r="E90" i="13"/>
  <c r="F96" i="13"/>
  <c r="H90" i="13"/>
  <c r="E96" i="13"/>
  <c r="K90" i="13"/>
  <c r="D96" i="13"/>
  <c r="N90" i="13"/>
  <c r="C96" i="13"/>
  <c r="D90" i="13"/>
  <c r="F95" i="13"/>
  <c r="G90" i="13"/>
  <c r="E95" i="13"/>
  <c r="J90" i="13"/>
  <c r="D95" i="13"/>
  <c r="M90" i="13"/>
  <c r="C95" i="13"/>
  <c r="T90" i="13"/>
  <c r="S90" i="13"/>
  <c r="R90" i="13"/>
  <c r="Q90" i="13"/>
  <c r="P90" i="13"/>
  <c r="O90" i="13"/>
  <c r="F70" i="13"/>
  <c r="F63" i="13"/>
  <c r="E70" i="13"/>
  <c r="I63" i="13"/>
  <c r="D70" i="13"/>
  <c r="L63" i="13"/>
  <c r="C70" i="13"/>
  <c r="E63" i="13"/>
  <c r="F69" i="13"/>
  <c r="H63" i="13"/>
  <c r="E69" i="13"/>
  <c r="K63" i="13"/>
  <c r="D69" i="13"/>
  <c r="N63" i="13"/>
  <c r="C69" i="13"/>
  <c r="D63" i="13"/>
  <c r="F68" i="13"/>
  <c r="G63" i="13"/>
  <c r="E68" i="13"/>
  <c r="J63" i="13"/>
  <c r="D68" i="13"/>
  <c r="M63" i="13"/>
  <c r="C68" i="13"/>
  <c r="T63" i="13"/>
  <c r="S63" i="13"/>
  <c r="R63" i="13"/>
  <c r="Q63" i="13"/>
  <c r="P63" i="13"/>
  <c r="O63" i="13"/>
  <c r="F43" i="13"/>
  <c r="F36" i="13"/>
  <c r="E43" i="13"/>
  <c r="I36" i="13"/>
  <c r="D43" i="13"/>
  <c r="L36" i="13"/>
  <c r="C43" i="13"/>
  <c r="E36" i="13"/>
  <c r="F42" i="13"/>
  <c r="H36" i="13"/>
  <c r="E42" i="13"/>
  <c r="K36" i="13"/>
  <c r="D42" i="13"/>
  <c r="N36" i="13"/>
  <c r="C42" i="13"/>
  <c r="D36" i="13"/>
  <c r="F41" i="13"/>
  <c r="G36" i="13"/>
  <c r="E41" i="13"/>
  <c r="J36" i="13"/>
  <c r="D41" i="13"/>
  <c r="M36" i="13"/>
  <c r="C41" i="13"/>
  <c r="T36" i="13"/>
  <c r="S36" i="13"/>
  <c r="R36" i="13"/>
  <c r="Q36" i="13"/>
  <c r="P36" i="13"/>
  <c r="O36" i="13"/>
  <c r="F15" i="13"/>
  <c r="F8" i="13"/>
  <c r="E15" i="13"/>
  <c r="I8" i="13"/>
  <c r="D15" i="13"/>
  <c r="L8" i="13"/>
  <c r="C15" i="13"/>
  <c r="E6" i="13"/>
  <c r="E8" i="13"/>
  <c r="F14" i="13"/>
  <c r="H7" i="13"/>
  <c r="G6" i="13"/>
  <c r="H6" i="13"/>
  <c r="H8" i="13"/>
  <c r="E14" i="13"/>
  <c r="K7" i="13"/>
  <c r="J6" i="13"/>
  <c r="K6" i="13"/>
  <c r="K8" i="13"/>
  <c r="D14" i="13"/>
  <c r="N8" i="13"/>
  <c r="C14" i="13"/>
  <c r="D8" i="13"/>
  <c r="F13" i="13"/>
  <c r="G8" i="13"/>
  <c r="E13" i="13"/>
  <c r="J8" i="13"/>
  <c r="D13" i="13"/>
  <c r="M8" i="13"/>
  <c r="C13" i="13"/>
  <c r="T7" i="13"/>
  <c r="S6" i="13"/>
  <c r="T6" i="13"/>
  <c r="T8" i="13"/>
  <c r="S8" i="13"/>
  <c r="R8" i="13"/>
  <c r="Q7" i="13"/>
  <c r="P6" i="13"/>
  <c r="Q6" i="13"/>
  <c r="Q8" i="13"/>
  <c r="P8" i="13"/>
  <c r="O8" i="13"/>
  <c r="E4" i="12"/>
  <c r="F4" i="12"/>
  <c r="G4" i="12"/>
  <c r="H4" i="12"/>
  <c r="E5" i="12"/>
  <c r="F5" i="12"/>
  <c r="G5" i="12"/>
  <c r="H5" i="12"/>
  <c r="E6" i="12"/>
  <c r="F6" i="12"/>
  <c r="G6" i="12"/>
  <c r="H6" i="12"/>
  <c r="E7" i="12"/>
  <c r="F7" i="12"/>
  <c r="G7" i="12"/>
  <c r="H7" i="12"/>
  <c r="H8" i="12"/>
  <c r="G8" i="12"/>
  <c r="E8" i="12"/>
  <c r="D8" i="12"/>
  <c r="C8" i="12"/>
  <c r="G35" i="11"/>
  <c r="E35" i="11"/>
  <c r="D35" i="11"/>
  <c r="C35" i="11"/>
  <c r="B35" i="11"/>
  <c r="G26" i="11"/>
  <c r="F26" i="11"/>
  <c r="E26" i="11"/>
  <c r="D26" i="11"/>
  <c r="C26" i="11"/>
  <c r="B26" i="11"/>
  <c r="G17" i="11"/>
  <c r="E17" i="11"/>
  <c r="D17" i="11"/>
  <c r="C17" i="11"/>
  <c r="B17" i="11"/>
  <c r="G5" i="11"/>
  <c r="G7" i="11"/>
  <c r="E5" i="11"/>
  <c r="E7" i="11"/>
  <c r="D7" i="11"/>
  <c r="C7" i="11"/>
  <c r="B7" i="11"/>
  <c r="D67" i="10"/>
  <c r="D71" i="10"/>
  <c r="D84" i="10"/>
  <c r="C67" i="10"/>
  <c r="E71" i="10"/>
  <c r="E84" i="10"/>
  <c r="E67" i="10"/>
  <c r="F67" i="10"/>
  <c r="G67" i="10"/>
  <c r="H67" i="10"/>
  <c r="C71" i="10"/>
  <c r="C84" i="10"/>
  <c r="D47" i="10"/>
  <c r="D51" i="10"/>
  <c r="D83" i="10"/>
  <c r="C47" i="10"/>
  <c r="E51" i="10"/>
  <c r="E83" i="10"/>
  <c r="E47" i="10"/>
  <c r="F47" i="10"/>
  <c r="G47" i="10"/>
  <c r="H47" i="10"/>
  <c r="C51" i="10"/>
  <c r="C83" i="10"/>
  <c r="D28" i="10"/>
  <c r="D32" i="10"/>
  <c r="D82" i="10"/>
  <c r="C28" i="10"/>
  <c r="E32" i="10"/>
  <c r="E82" i="10"/>
  <c r="E28" i="10"/>
  <c r="F28" i="10"/>
  <c r="G28" i="10"/>
  <c r="H28" i="10"/>
  <c r="C32" i="10"/>
  <c r="C82" i="10"/>
  <c r="D11" i="10"/>
  <c r="D15" i="10"/>
  <c r="D81" i="10"/>
  <c r="C11" i="10"/>
  <c r="E15" i="10"/>
  <c r="E81" i="10"/>
  <c r="E11" i="10"/>
  <c r="F11" i="10"/>
  <c r="G11" i="10"/>
  <c r="H11" i="10"/>
  <c r="C15" i="10"/>
  <c r="C81" i="10"/>
  <c r="H66" i="10"/>
  <c r="G66" i="10"/>
  <c r="F66" i="10"/>
  <c r="E66" i="10"/>
  <c r="D66" i="10"/>
  <c r="C66" i="10"/>
  <c r="H65" i="10"/>
  <c r="G65" i="10"/>
  <c r="F65" i="10"/>
  <c r="E65" i="10"/>
  <c r="D65" i="10"/>
  <c r="C65" i="10"/>
  <c r="H46" i="10"/>
  <c r="G46" i="10"/>
  <c r="F46" i="10"/>
  <c r="E46" i="10"/>
  <c r="D46" i="10"/>
  <c r="C46" i="10"/>
  <c r="H45" i="10"/>
  <c r="G45" i="10"/>
  <c r="F45" i="10"/>
  <c r="E45" i="10"/>
  <c r="D45" i="10"/>
  <c r="C45" i="10"/>
  <c r="H27" i="10"/>
  <c r="G27" i="10"/>
  <c r="F27" i="10"/>
  <c r="E27" i="10"/>
  <c r="D27" i="10"/>
  <c r="C27" i="10"/>
  <c r="H26" i="10"/>
  <c r="G26" i="10"/>
  <c r="F26" i="10"/>
  <c r="E26" i="10"/>
  <c r="D26" i="10"/>
  <c r="C26" i="10"/>
  <c r="H10" i="10"/>
  <c r="G10" i="10"/>
  <c r="F10" i="10"/>
  <c r="E10" i="10"/>
  <c r="D10" i="10"/>
  <c r="C10" i="10"/>
  <c r="H9" i="10"/>
  <c r="G9" i="10"/>
  <c r="F9" i="10"/>
  <c r="E9" i="10"/>
  <c r="D9" i="10"/>
  <c r="C9" i="10"/>
  <c r="B29" i="8"/>
  <c r="B27" i="8"/>
  <c r="B45" i="8"/>
  <c r="B46" i="8"/>
  <c r="B47" i="8"/>
  <c r="B51" i="8"/>
  <c r="B41" i="8"/>
  <c r="B33" i="8"/>
  <c r="G55" i="4"/>
  <c r="B55" i="4"/>
  <c r="L55" i="4"/>
  <c r="L54" i="4"/>
  <c r="L53" i="4"/>
  <c r="L52" i="4"/>
  <c r="L51" i="4"/>
  <c r="G37" i="4"/>
  <c r="B37" i="4"/>
  <c r="L37" i="4"/>
  <c r="F51" i="4"/>
  <c r="F52" i="4"/>
  <c r="F53" i="4"/>
  <c r="F54" i="4"/>
  <c r="F55" i="4"/>
  <c r="K55" i="4"/>
  <c r="K54" i="4"/>
  <c r="K53" i="4"/>
  <c r="K52" i="4"/>
  <c r="K51" i="4"/>
  <c r="C55" i="4"/>
  <c r="J55" i="4"/>
  <c r="J54" i="4"/>
  <c r="J53" i="4"/>
  <c r="J52" i="4"/>
  <c r="J51" i="4"/>
  <c r="I55" i="4"/>
  <c r="I54" i="4"/>
  <c r="I53" i="4"/>
  <c r="I52" i="4"/>
  <c r="I51" i="4"/>
  <c r="H55" i="4"/>
  <c r="H54" i="4"/>
  <c r="H53" i="4"/>
  <c r="H52" i="4"/>
  <c r="H51" i="4"/>
  <c r="E55" i="4"/>
  <c r="D55" i="4"/>
  <c r="G40" i="4"/>
  <c r="G39" i="4"/>
  <c r="G38" i="4"/>
  <c r="E40" i="4"/>
  <c r="E39" i="4"/>
  <c r="E38" i="4"/>
  <c r="E37" i="4"/>
  <c r="D40" i="4"/>
  <c r="D39" i="4"/>
  <c r="D38" i="4"/>
  <c r="D37" i="4"/>
  <c r="C40" i="4"/>
  <c r="C39" i="4"/>
  <c r="C38" i="4"/>
  <c r="C37" i="4"/>
  <c r="B40" i="4"/>
  <c r="B39" i="4"/>
  <c r="B38" i="4"/>
  <c r="G41" i="4"/>
  <c r="B41" i="4"/>
  <c r="L41" i="4"/>
  <c r="D41" i="4"/>
  <c r="E41" i="4"/>
  <c r="F41" i="4"/>
  <c r="K41" i="4"/>
  <c r="C41" i="4"/>
  <c r="J41" i="4"/>
  <c r="I41" i="4"/>
  <c r="H41" i="4"/>
  <c r="L40" i="4"/>
  <c r="F40" i="4"/>
  <c r="K40" i="4"/>
  <c r="J40" i="4"/>
  <c r="I40" i="4"/>
  <c r="H40" i="4"/>
  <c r="L39" i="4"/>
  <c r="F39" i="4"/>
  <c r="K39" i="4"/>
  <c r="J39" i="4"/>
  <c r="I39" i="4"/>
  <c r="H39" i="4"/>
  <c r="L38" i="4"/>
  <c r="F38" i="4"/>
  <c r="K38" i="4"/>
  <c r="J38" i="4"/>
  <c r="I38" i="4"/>
  <c r="H38" i="4"/>
  <c r="F37" i="4"/>
  <c r="K37" i="4"/>
  <c r="J37" i="4"/>
  <c r="I37" i="4"/>
  <c r="H37" i="4"/>
  <c r="I5" i="1"/>
  <c r="G27" i="4"/>
  <c r="B27" i="4"/>
  <c r="L27" i="4"/>
  <c r="L26" i="4"/>
  <c r="L25" i="4"/>
  <c r="L24" i="4"/>
  <c r="L23" i="4"/>
  <c r="F23" i="4"/>
  <c r="F24" i="4"/>
  <c r="F25" i="4"/>
  <c r="F26" i="4"/>
  <c r="F27" i="4"/>
  <c r="K27" i="4"/>
  <c r="K26" i="4"/>
  <c r="K25" i="4"/>
  <c r="K24" i="4"/>
  <c r="K23" i="4"/>
  <c r="C27" i="4"/>
  <c r="J27" i="4"/>
  <c r="J26" i="4"/>
  <c r="J25" i="4"/>
  <c r="J24" i="4"/>
  <c r="J23" i="4"/>
  <c r="I27" i="4"/>
  <c r="I26" i="4"/>
  <c r="I25" i="4"/>
  <c r="I24" i="4"/>
  <c r="I23" i="4"/>
  <c r="H27" i="4"/>
  <c r="E27" i="4"/>
  <c r="D27" i="4"/>
  <c r="H26" i="4"/>
  <c r="H25" i="4"/>
  <c r="H24" i="4"/>
  <c r="H23" i="4"/>
  <c r="D13" i="4"/>
  <c r="E13" i="4"/>
  <c r="F13" i="4"/>
  <c r="G13" i="4"/>
  <c r="H13" i="4"/>
  <c r="F12" i="4"/>
  <c r="H12" i="4"/>
  <c r="F11" i="4"/>
  <c r="H11" i="4"/>
  <c r="F10" i="4"/>
  <c r="H10" i="4"/>
  <c r="F9" i="4"/>
  <c r="H9" i="4"/>
  <c r="B13" i="4"/>
  <c r="L13" i="4"/>
  <c r="L12" i="4"/>
  <c r="L11" i="4"/>
  <c r="L10" i="4"/>
  <c r="L9" i="4"/>
  <c r="C13" i="4"/>
  <c r="J13" i="4"/>
  <c r="J12" i="4"/>
  <c r="J11" i="4"/>
  <c r="J10" i="4"/>
  <c r="J9" i="4"/>
  <c r="K13" i="4"/>
  <c r="K12" i="4"/>
  <c r="K11" i="4"/>
  <c r="K10" i="4"/>
  <c r="K9" i="4"/>
  <c r="I13" i="4"/>
  <c r="I12" i="4"/>
  <c r="I11" i="4"/>
  <c r="I10" i="4"/>
  <c r="I9" i="4"/>
</calcChain>
</file>

<file path=xl/sharedStrings.xml><?xml version="1.0" encoding="utf-8"?>
<sst xmlns="http://schemas.openxmlformats.org/spreadsheetml/2006/main" count="675" uniqueCount="313">
  <si>
    <t xml:space="preserve">Annual Lobbying </t>
  </si>
  <si>
    <t>JNJ</t>
  </si>
  <si>
    <t>PHarMA</t>
  </si>
  <si>
    <t>Company</t>
  </si>
  <si>
    <t>Revenue</t>
  </si>
  <si>
    <t>R&amp;D</t>
  </si>
  <si>
    <t>J&amp;J</t>
  </si>
  <si>
    <t>Pfizer</t>
  </si>
  <si>
    <t>Merck</t>
  </si>
  <si>
    <t>Abbott</t>
  </si>
  <si>
    <t>Total</t>
  </si>
  <si>
    <t>www.cbo.gov/publication/54918</t>
  </si>
  <si>
    <t xml:space="preserve">Pharmaceutical company spending on stock buybacks, </t>
  </si>
  <si>
    <t>cash dividends, and research &amp; development</t>
  </si>
  <si>
    <t>(BB)</t>
  </si>
  <si>
    <t>dividends</t>
  </si>
  <si>
    <t>(DV)</t>
  </si>
  <si>
    <t>2008–2017 ($ billions)</t>
  </si>
  <si>
    <t>Totals</t>
  </si>
  <si>
    <t>of revenue</t>
  </si>
  <si>
    <t>Net income</t>
  </si>
  <si>
    <t xml:space="preserve">R&amp;D as % of revenue </t>
  </si>
  <si>
    <t xml:space="preserve">R&amp;D as % of net income </t>
  </si>
  <si>
    <t>Cash dividends (DV)</t>
  </si>
  <si>
    <t>Stock buybacks (BB)</t>
  </si>
  <si>
    <t>Payouts, profits and R&amp;D</t>
  </si>
  <si>
    <t>Payouts as % of net income</t>
  </si>
  <si>
    <t>Payouts as % of revenue</t>
  </si>
  <si>
    <t>Payouts         (BB + DV)</t>
  </si>
  <si>
    <t>SOURCE: S&amp;P Compustat database, adapted from Tulum and Lazonick, 2019. Abbott data includes the combined financial figures of Abbott Laboratories and the company’s pharmaceutical subsidiary, AbbVie, which it spun off in 2013.</t>
  </si>
  <si>
    <t>% difference in payouts and R&amp;D</t>
  </si>
  <si>
    <t>Federal Reserve Economic Data</t>
  </si>
  <si>
    <t>Link: https://fred.stlouisfed.org</t>
  </si>
  <si>
    <t>Help: https://fred.stlouisfed.org/help-faq</t>
  </si>
  <si>
    <t>Economic Research Division</t>
  </si>
  <si>
    <t>Federal Reserve Bank of St. Louis</t>
  </si>
  <si>
    <t>Frequency: Quarterly</t>
  </si>
  <si>
    <t>observation_date</t>
  </si>
  <si>
    <t>2018 ($ billions)</t>
  </si>
  <si>
    <t>SOURCE: Oxfam analysis of companies' 2018 financial statements</t>
  </si>
  <si>
    <t>ANNUAL AVERAGE OVER 2008–2017 ($ billions)</t>
  </si>
  <si>
    <r>
      <t> </t>
    </r>
    <r>
      <rPr>
        <sz val="9"/>
        <color theme="1"/>
        <rFont val="Times New Roman"/>
        <family val="1"/>
      </rPr>
      <t> </t>
    </r>
  </si>
  <si>
    <t>Total ($M)</t>
  </si>
  <si>
    <t xml:space="preserve"> n/a </t>
  </si>
  <si>
    <t>2017 ($ billions)</t>
  </si>
  <si>
    <t>SOURCE: Oxfam analysis of companies' financial statements, adapted from Tulum and Lazonick, 2019. Abbott data includes the combined financial figures of Abbott Laboratories and the company’s pharmaceutical subsidiary, AbbVie, which it spun off in 2013.</t>
  </si>
  <si>
    <t>NIH</t>
  </si>
  <si>
    <t>https://www.nih.gov/about-nih/what-we-do/budget</t>
  </si>
  <si>
    <t>PEPFAR</t>
  </si>
  <si>
    <t>Annual budget (FY2018)</t>
  </si>
  <si>
    <t>Opportunity Costs of TCJA Tax Breaks to Pharma Companies (billions)</t>
  </si>
  <si>
    <t>https://www.kff.org/global-health-policy/fact-sheet/the-u-s-presidents-emergency-plan-for/</t>
  </si>
  <si>
    <t>Health insurance for children (CHIP)</t>
  </si>
  <si>
    <t>https://www.thelancet.com/journals/langlo/article/PIIS2214-109X(17)30263-2/fulltext</t>
  </si>
  <si>
    <t>%TaxBreaks</t>
  </si>
  <si>
    <t>Financing gap per year (avg)</t>
  </si>
  <si>
    <t>Universal Health Coverage in L/MICs</t>
  </si>
  <si>
    <t>https://eclkc.ohs.acf.hhs.gov/sites/default/files/pdf/hs-program-fact-sheet-2017_0.pdf</t>
  </si>
  <si>
    <t>https://mchb.tvisdata.hrsa.gov/Financial/FundingBySource</t>
  </si>
  <si>
    <t>Maternal and Child Health Block Grant</t>
  </si>
  <si>
    <t>https://nwlc-ciw49tixgw5lbab.stackpathdns.com/wp-content/uploads/2018/06/FINAL-By-The-Numbers.pdf</t>
  </si>
  <si>
    <t>SOURCE: Oxfam analysis of companies' end-of-year 10-K financial statements filed at the Securities and Exchange Commission (SEC).</t>
  </si>
  <si>
    <t>Pharma TCJA Tax Breaks in 2018 (billions)</t>
  </si>
  <si>
    <t>https://www.kff.org/medicaid/state-indicator/total-chip-spending/?currentTimeframe=0&amp;sortModel=%7B%22colId%22:%22Location%22,%22sort%22:%22asc%22%7D#note-1</t>
  </si>
  <si>
    <t>Kids in CHIP (Dec 2018)</t>
  </si>
  <si>
    <t>https://www.medicaid.gov/medicaid/program-information/medicaid-and-chip-enrollment-data/report-highlights/index.html</t>
  </si>
  <si>
    <t>CHIP budget (FY 2017)</t>
  </si>
  <si>
    <t xml:space="preserve">Number of children left uninsured </t>
  </si>
  <si>
    <t>% of un-insured covered</t>
  </si>
  <si>
    <t>SOURCES</t>
  </si>
  <si>
    <t>Oxfam analysis, using 10-K financial statements</t>
  </si>
  <si>
    <t>TB vaccine</t>
  </si>
  <si>
    <t>Cost six-month course of bedaquiline</t>
  </si>
  <si>
    <t xml:space="preserve"> https://scrip.pharmaintelligence.informa.com/SC124843/JJ-Says-Bedaquiline-TB-Treatment-Cost-Fair-1Day-Price-Unrealistic</t>
  </si>
  <si>
    <t>JNJ Tax breaks</t>
  </si>
  <si>
    <t>Revenues</t>
  </si>
  <si>
    <t>Profits</t>
  </si>
  <si>
    <t>Taxes</t>
  </si>
  <si>
    <t>TCJA Adjustment</t>
  </si>
  <si>
    <t>Profit margin</t>
  </si>
  <si>
    <t>ETR</t>
  </si>
  <si>
    <t>ETR (TCJA Adjusted)</t>
  </si>
  <si>
    <t>Source: 10-K Reports</t>
  </si>
  <si>
    <t>5-Year Average (2013-2017)</t>
  </si>
  <si>
    <t>J&amp;J Global ETR</t>
  </si>
  <si>
    <t>*TCJA Adjusted Global ETR</t>
  </si>
  <si>
    <t>Merck Global ETR</t>
  </si>
  <si>
    <t>Pfizer Global ETR</t>
  </si>
  <si>
    <t>Abbott Global ETR</t>
  </si>
  <si>
    <t>Summary</t>
  </si>
  <si>
    <t>Effective Tax Rate</t>
  </si>
  <si>
    <t>Johnson &amp; Johnson</t>
  </si>
  <si>
    <t>US Current Tax Expense ($million)</t>
  </si>
  <si>
    <t>n/a</t>
  </si>
  <si>
    <t>Statutory Tax Rate</t>
  </si>
  <si>
    <t>Estimate of US Taxable Income ($millions)</t>
  </si>
  <si>
    <t>Source: 10-K Reports for US Current Tax Expense</t>
  </si>
  <si>
    <t xml:space="preserve">Estimate of taxable income is calculated as US current tax expense divided by the statutory tax rate. </t>
  </si>
  <si>
    <t>Tax Rate Differential</t>
  </si>
  <si>
    <t>TCJA Transition Tax per 10-K Reports ($millions)</t>
  </si>
  <si>
    <t>Gross Up Factor</t>
  </si>
  <si>
    <t>Estimate of tax liability at 35%($millions)</t>
  </si>
  <si>
    <t>Tax Saving/(Cost) ($millions)</t>
  </si>
  <si>
    <t xml:space="preserve">Source: Transition tax liability obtained from income tax note disclosures in 2017 and 2018 10-K reports. Figures are rounded in the 10-K reports. </t>
  </si>
  <si>
    <t>Gross-up factor calculated as 35% divided by 15.5% (the highest transition tax rate)</t>
  </si>
  <si>
    <t>Tax Saving/(Cost) calculated as the estimate of the liability at 35% less the total TCJA transition tax per the 10-K reports</t>
  </si>
  <si>
    <t>Global</t>
  </si>
  <si>
    <t>US</t>
  </si>
  <si>
    <t>International</t>
  </si>
  <si>
    <t>Profits (before taxes)</t>
  </si>
  <si>
    <t>Profit Margin</t>
  </si>
  <si>
    <t>*Source: 10-K Reports</t>
  </si>
  <si>
    <t>Profit Margin 2015-2018</t>
  </si>
  <si>
    <t>Total New Subs (Tax Havens)</t>
  </si>
  <si>
    <t>Total New Subs (Other)</t>
  </si>
  <si>
    <t>% Tax Haven</t>
  </si>
  <si>
    <t>Total Subsidiaries Identified</t>
  </si>
  <si>
    <t>Tax Haven</t>
  </si>
  <si>
    <t>Name</t>
  </si>
  <si>
    <t>Jurisdiction</t>
  </si>
  <si>
    <t>Actelion Pharmaceuticals Ltd</t>
  </si>
  <si>
    <t>Switzerland</t>
  </si>
  <si>
    <t>MSD BD-1 GmbH</t>
  </si>
  <si>
    <t>PF Consumer Healthcare B.V</t>
  </si>
  <si>
    <t>Netherlands</t>
  </si>
  <si>
    <t>Abbot Ireland Financing Designated Activity Company</t>
  </si>
  <si>
    <t>Ireland</t>
  </si>
  <si>
    <t>AMO Global Holdings</t>
  </si>
  <si>
    <t>Cayman Islands</t>
  </si>
  <si>
    <t>MSD Human Health Holding II B.V</t>
  </si>
  <si>
    <t>PF OFG Hong Kong Limited</t>
  </si>
  <si>
    <t>Hong Kong</t>
  </si>
  <si>
    <t>Abbott Medical Nederland B.V.</t>
  </si>
  <si>
    <t>AMO International Holdings</t>
  </si>
  <si>
    <t>MSD Oncology GmbH</t>
  </si>
  <si>
    <t>PF OFG South Korea 1 B.V</t>
  </si>
  <si>
    <t>Abbott Financial Holdings SRL</t>
  </si>
  <si>
    <t>Barbados</t>
  </si>
  <si>
    <t>Ethicon Holding Sarl</t>
  </si>
  <si>
    <t>MSDRG Holdings Unlimited Company</t>
  </si>
  <si>
    <t>Pfizer R&amp;D Holding B.V</t>
  </si>
  <si>
    <t>Abbott International Enterprises, Ltd.</t>
  </si>
  <si>
    <t>Bermuda</t>
  </si>
  <si>
    <t>GH Biotech Holdings</t>
  </si>
  <si>
    <t>Upjohn Global Holdings B.V</t>
  </si>
  <si>
    <t>Cilag Holding Treasury Unlimited Company</t>
  </si>
  <si>
    <t>HBAF Ltd.</t>
  </si>
  <si>
    <t>Bahamas</t>
  </si>
  <si>
    <t>Neuravi Limited</t>
  </si>
  <si>
    <t>Pfizer Brazil Holding SARL</t>
  </si>
  <si>
    <t>Luxembourg</t>
  </si>
  <si>
    <t>Other</t>
  </si>
  <si>
    <t>Atrionix, Inc.</t>
  </si>
  <si>
    <t>California</t>
  </si>
  <si>
    <t>Aptus Health</t>
  </si>
  <si>
    <t>France</t>
  </si>
  <si>
    <t>PF Consumer Healthcare 1 LLC</t>
  </si>
  <si>
    <t>Delaware</t>
  </si>
  <si>
    <t>Cephea Valve Technologies, Inc.</t>
  </si>
  <si>
    <t>BeneVir BioPharm, Inc.</t>
  </si>
  <si>
    <t>ILUM Health Solutions</t>
  </si>
  <si>
    <t>PF Consumer Healthcare B.V.</t>
  </si>
  <si>
    <t>Epocal (US), Inc</t>
  </si>
  <si>
    <t>Janssen BioPharma, Inc.</t>
  </si>
  <si>
    <t>Merck Sharpe &amp; Dohme Limitada</t>
  </si>
  <si>
    <t>Bolivia</t>
  </si>
  <si>
    <t>PF Consumer Healthcare Canada ULC</t>
  </si>
  <si>
    <t>Canada</t>
  </si>
  <si>
    <t>Abbott Diagnostics Technologies AS</t>
  </si>
  <si>
    <t>Norway</t>
  </si>
  <si>
    <t>Janssen-Cilag Holdings, Inc.</t>
  </si>
  <si>
    <t>Nevada</t>
  </si>
  <si>
    <t>Physicians Interactive India Private Limited</t>
  </si>
  <si>
    <t>India</t>
  </si>
  <si>
    <t>PF Consumer Healthcare New Zealand Limited</t>
  </si>
  <si>
    <t>New Zealand</t>
  </si>
  <si>
    <t>JJHC, LLC</t>
  </si>
  <si>
    <t>Vilsan Veteriner Ilaclari Ticaret ve Sanayi Anonim Sirketi Turkey</t>
  </si>
  <si>
    <t>Turkey</t>
  </si>
  <si>
    <t>PF Healthcare Australia Pty Ltd</t>
  </si>
  <si>
    <t>Australia</t>
  </si>
  <si>
    <t>Johnson &amp; Johnson Surgical Vision, Inc.</t>
  </si>
  <si>
    <t>Viralytics Pty. Ltd.</t>
  </si>
  <si>
    <t>PF OFG (Thailand) Limited</t>
  </si>
  <si>
    <t>Thailand</t>
  </si>
  <si>
    <t>McNeil MMP, LLC</t>
  </si>
  <si>
    <t>New Jersey</t>
  </si>
  <si>
    <t>Viralytics Services Inc.</t>
  </si>
  <si>
    <t>PF OFG Australia Pty Ltd</t>
  </si>
  <si>
    <t>Middlesex Assurance Company Limited</t>
  </si>
  <si>
    <t>Vermont</t>
  </si>
  <si>
    <t>PF OFG HELLAS L.T.D.</t>
  </si>
  <si>
    <t>Greece</t>
  </si>
  <si>
    <t>OMJ Pharmaceuticals, Inc.</t>
  </si>
  <si>
    <t>TriStrata, Incorporated</t>
  </si>
  <si>
    <t>PF OFG New Zealand ULC</t>
  </si>
  <si>
    <t>Zarbee's, Inc.</t>
  </si>
  <si>
    <t>PF OFG South Korea 1 B.V.</t>
  </si>
  <si>
    <t>Actelion Pharmaceuticals Italia S.r.l.</t>
  </si>
  <si>
    <t>Italy</t>
  </si>
  <si>
    <t>Pfizer (Thailand) Limited</t>
  </si>
  <si>
    <t>Actelion Pharmaceuticals Japan Ltd.</t>
  </si>
  <si>
    <t>Japan</t>
  </si>
  <si>
    <t>Pfizer (Wuhan) Research and Development Co.</t>
  </si>
  <si>
    <t>China</t>
  </si>
  <si>
    <t>AMO Canada Company</t>
  </si>
  <si>
    <t>Pfizer Africa &amp; Middle East for</t>
  </si>
  <si>
    <t>Egypt</t>
  </si>
  <si>
    <t>Guangzhou Bioseal Biotech Co., Ltd.</t>
  </si>
  <si>
    <t>Pfizer Afrique de L'Ouest</t>
  </si>
  <si>
    <t>Senegal</t>
  </si>
  <si>
    <t>Janssen-Cilag AS</t>
  </si>
  <si>
    <t>Pfizer Healthcare India Private Limited</t>
  </si>
  <si>
    <t>Janssen-Cilag Polska, Sp. z o.o.</t>
  </si>
  <si>
    <t>Poland</t>
  </si>
  <si>
    <t>Pfizer Ilaclari Limited Sirketi</t>
  </si>
  <si>
    <t>Janssen-Cilag Pharmaceutical S.A.C.I.</t>
  </si>
  <si>
    <t>Pfizer OFG Germany GmbH</t>
  </si>
  <si>
    <t>Germany</t>
  </si>
  <si>
    <t>J-C Health Care Ltd.</t>
  </si>
  <si>
    <t>Isreal</t>
  </si>
  <si>
    <t>Pfizer Pharmaceuticals Tunisie Sarl</t>
  </si>
  <si>
    <t>Tunisia</t>
  </si>
  <si>
    <t>Johnson &amp; Johnson Consumer Saudi Arabia Limited</t>
  </si>
  <si>
    <t>Saudi Arabia</t>
  </si>
  <si>
    <t>Pfizer R&amp;D Japan G.K.</t>
  </si>
  <si>
    <t>Johnson &amp; Johnson Korea, Ltd.</t>
  </si>
  <si>
    <t>Korea</t>
  </si>
  <si>
    <t>Pfizer R&amp;D UK Limited</t>
  </si>
  <si>
    <t>United Kingdom</t>
  </si>
  <si>
    <t>Johnson &amp; Johnson Surgical Vision India Private Limited</t>
  </si>
  <si>
    <t>Pfizer Tunisie SA</t>
  </si>
  <si>
    <t>PMC Holdings G.K.</t>
  </si>
  <si>
    <t>PIMB OFG Spain Holding, S.L.</t>
  </si>
  <si>
    <t>Spain</t>
  </si>
  <si>
    <t>Vania Expansion</t>
  </si>
  <si>
    <t>Upjohn South Africa (Pty) Ltd.</t>
  </si>
  <si>
    <t>South Africa</t>
  </si>
  <si>
    <t>Upjohn US 1 LLC</t>
  </si>
  <si>
    <t>Upjohn US 2 LLC</t>
  </si>
  <si>
    <t>Wyeth Pharmaceuticals India Private Limited India</t>
  </si>
  <si>
    <t>Source: Exhibit 21 Subsidiary List in 10-K reports</t>
  </si>
  <si>
    <t xml:space="preserve">Several Abbott companies changed their name from "St Jude Medical..." in 2017 to "Abbott Medical..." in 2018. Where this was the case, these subsidiaries were not included as new subsidiaries in 2018. </t>
  </si>
  <si>
    <t>https://stats.oecd.org/#</t>
  </si>
  <si>
    <t>Total (4 companies)</t>
  </si>
  <si>
    <t>Total (Pharmaceutical Manufacturers)</t>
  </si>
  <si>
    <t>Dividends</t>
  </si>
  <si>
    <t>Repurchase of Common Stock</t>
  </si>
  <si>
    <r>
      <rPr>
        <b/>
        <sz val="11"/>
        <color theme="1"/>
        <rFont val="Calibri"/>
        <family val="2"/>
        <scheme val="minor"/>
      </rPr>
      <t xml:space="preserve">Source: </t>
    </r>
    <r>
      <rPr>
        <sz val="12"/>
        <color theme="1"/>
        <rFont val="Calibri"/>
        <family val="2"/>
        <scheme val="minor"/>
      </rPr>
      <t xml:space="preserve">10-K Report: Consolidated Statement of Cash Flows (Dividends &amp; Stock) and Consolidated Statement of Earnings (R&amp;D Expense) </t>
    </r>
  </si>
  <si>
    <t>$ Millions</t>
  </si>
  <si>
    <t>Payouts (DV + BB)</t>
  </si>
  <si>
    <t>Time-series: Payouts vs. R&amp;D</t>
  </si>
  <si>
    <t>GENDER EQUALITY SPENDING IN US ODA</t>
  </si>
  <si>
    <t>https://www.cancer.org/content/dam/cancer-org/cancer-control/en/reports/the-cost-of-cervical-cancer-prevention.pdf.</t>
  </si>
  <si>
    <t>Total cost - 10 years</t>
  </si>
  <si>
    <t>Cervical cancer vaccine and prevent program in LMICs</t>
  </si>
  <si>
    <t>Years for Tax Breaks to cover total cost</t>
  </si>
  <si>
    <t>Transaction Date</t>
  </si>
  <si>
    <t>Average Price</t>
  </si>
  <si>
    <t>Shares Sold</t>
  </si>
  <si>
    <t>FRAZIER KENNETH C</t>
  </si>
  <si>
    <t>https://msfaccess.org/dr-tb-drugs-under-microscope-5th-edition-abridged</t>
  </si>
  <si>
    <t>Cases of MDR-TB</t>
  </si>
  <si>
    <t>JNJ tax break covers how much of this</t>
  </si>
  <si>
    <r>
      <t>Estimated Tax Breaks Stemming from the 2017 US Corporate Tax Overhaul</t>
    </r>
    <r>
      <rPr>
        <sz val="12"/>
        <color theme="1"/>
        <rFont val="Times New Roman"/>
        <family val="1"/>
      </rPr>
      <t xml:space="preserve"> </t>
    </r>
  </si>
  <si>
    <t xml:space="preserve">Estimated Tax Cuts from Tax Rate Change in 2018 </t>
  </si>
  <si>
    <t>Estimated Tax Breaks on Unpaid, Offshore Earnings per year starting in 2018</t>
  </si>
  <si>
    <t xml:space="preserve">It was not possible to determine the extent to which one-off TCJA adjustments were included current tax expense (as opposed to deferred tax expense) in 2017. 
Therefore, as the appropriate adjustments could not be made, results were not provided for the fiscal year 2017 for J&amp;J, Merck and Abbott. </t>
  </si>
  <si>
    <t>N/A</t>
  </si>
  <si>
    <t>Abbott’s US tax expense was negative so our estimation method is not applicable here.</t>
  </si>
  <si>
    <t xml:space="preserve"> Total </t>
  </si>
  <si>
    <t>Reported offshore earnings subject to 15.5% ‘Transition Tax’ in 2017/18 ($M)</t>
  </si>
  <si>
    <t>One-time tax cut ($M)</t>
  </si>
  <si>
    <t>Tax break spread out over 8 years ($M)</t>
  </si>
  <si>
    <t>Estimate of transition tax liability at 35% rate when earnings made ($M)</t>
  </si>
  <si>
    <t>Center for Responsive Politics, https://www.opensecrets.org</t>
  </si>
  <si>
    <t>A053RC1Q027SBEA</t>
  </si>
  <si>
    <t>Corporate Profits Before Tax ($ billions) (Source: FRED)</t>
  </si>
  <si>
    <t>Corporate Income Tax (% of Total Revenue) (Source: CBO)</t>
  </si>
  <si>
    <t>7 YR AVG</t>
  </si>
  <si>
    <t>Change 17/18</t>
  </si>
  <si>
    <t>Value of stock  sold</t>
  </si>
  <si>
    <t>SOURCE: SEC Form 4, https://www.secform4.com/insider-trading/310158.htm</t>
  </si>
  <si>
    <t>CEO, Chairman, Merck and Co., Inc</t>
  </si>
  <si>
    <t>Estimated US Taxable Income in 2018 ($ M)</t>
  </si>
  <si>
    <t>2018 Estimated Tax Cut ($ M)</t>
  </si>
  <si>
    <t>Total cost per year over ten years</t>
  </si>
  <si>
    <t>Cost for BDQ course for all cases</t>
  </si>
  <si>
    <t>Cost  in billions for BDQ course for all cases</t>
  </si>
  <si>
    <t>Cost of MDR-TB regimen Lfx-Bdq-Lzd-Cfz-Cs (18 months - WHO recommendation)</t>
  </si>
  <si>
    <t>Cost of WHO rec treatment regimen for all cases</t>
  </si>
  <si>
    <t>Cost in billions of WHO rec regimen for all cases</t>
  </si>
  <si>
    <t>Cost per child estimate</t>
  </si>
  <si>
    <t>Number of children tax breaks could insure</t>
  </si>
  <si>
    <t>Number of uninsured kids (2017)</t>
  </si>
  <si>
    <t>https://www.kff.org/other/state-indicator/children-0-18/?dataView=1&amp;currentTimeframe=0&amp;sortModel=%7B%22colId%22:%22Location%22,%22sort%22:%22asc%22%7D</t>
  </si>
  <si>
    <t>Tax Breaks cover % of budget</t>
  </si>
  <si>
    <t>Annual budget (billions)</t>
  </si>
  <si>
    <t>Annual budget in FY 2017 (billions)</t>
  </si>
  <si>
    <t>Headstart and Early Headstart</t>
  </si>
  <si>
    <t>Head Start and Early Head Start Beneficiaries (in millions)</t>
  </si>
  <si>
    <t>Number beneficiaries served by tax breaks (in millions)</t>
  </si>
  <si>
    <t>Annual budget (billions in FY19)</t>
  </si>
  <si>
    <t>Amount Spent on all gender equality  projects 2017 OECD data (In Billions USD)</t>
  </si>
  <si>
    <t>Amount Spent on projects with a primary gender equality focused  2017 OECD data (In Billions USD)</t>
  </si>
  <si>
    <t>https://bipartisanpolicy.org/library/tracking-federal-funding-to-combat-the-opioid-crisis/</t>
  </si>
  <si>
    <t>OPIOID COMPREHENSIVE TREATMENT</t>
  </si>
  <si>
    <t>Federal appropriations to curb opioid epidemic (FY18 in billions)</t>
  </si>
  <si>
    <t>% of 2018 profits</t>
  </si>
  <si>
    <t>SOURCE: FRED Graph Observations</t>
  </si>
  <si>
    <r>
      <t xml:space="preserve">National income: </t>
    </r>
    <r>
      <rPr>
        <b/>
        <sz val="10"/>
        <rFont val="Arial"/>
        <family val="2"/>
      </rPr>
      <t>Corporate profits before tax</t>
    </r>
    <r>
      <rPr>
        <sz val="10"/>
        <rFont val="Arial"/>
        <family val="2"/>
      </rPr>
      <t xml:space="preserve"> (without IVA and CCAdj), Billions of Dollars, Quarterly, Seasonally Adjusted Annual Rate</t>
    </r>
  </si>
  <si>
    <r>
      <t xml:space="preserve">SOURCE: Historical data published in Appendix F of CBO’s January 2019 report </t>
    </r>
    <r>
      <rPr>
        <b/>
        <i/>
        <sz val="11"/>
        <rFont val="Arial"/>
        <family val="2"/>
      </rPr>
      <t>The Budget and Economic Outlook: 2019 to 2029.</t>
    </r>
  </si>
  <si>
    <t>Millions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</si>
</sst>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3" formatCode="_(* #,##0.00_);_(* \(#,##0.00\);_(* &quot;-&quot;??_);_(@_)"/>
    <numFmt numFmtId="164" formatCode="0.0%"/>
    <numFmt numFmtId="165" formatCode="yyyy\-mm\-dd"/>
    <numFmt numFmtId="166" formatCode="0.000"/>
    <numFmt numFmtId="167" formatCode="_-* #,##0.00_-;\-* #,##0.00_-;_-* &quot;-&quot;??_-;_-@_-"/>
    <numFmt numFmtId="168" formatCode="_-* #,##0_-;\-* #,##0_-;_-* &quot;-&quot;??_-;_-@_-"/>
    <numFmt numFmtId="169" formatCode="_-* #,##0.000_-;\-* #,##0.000_-;_-* &quot;-&quot;??_-;_-@_-"/>
  </numFmts>
  <fonts count="35" x14ac:knownFonts="1">
    <font>
      <sz val="12"/>
      <color theme="1"/>
      <name val="Calibri"/>
      <family val="2"/>
      <scheme val="minor"/>
    </font>
    <font>
      <sz val="12"/>
      <color theme="1"/>
      <name val="Calibri"/>
      <family val="2"/>
      <scheme val="minor"/>
    </font>
    <font>
      <sz val="10"/>
      <name val="Arial"/>
      <family val="2"/>
    </font>
    <font>
      <sz val="11"/>
      <color theme="3"/>
      <name val="Arial"/>
      <family val="2"/>
    </font>
    <font>
      <u/>
      <sz val="12"/>
      <color theme="11"/>
      <name val="Calibri"/>
      <family val="2"/>
      <scheme val="minor"/>
    </font>
    <font>
      <b/>
      <sz val="10"/>
      <name val="Arial"/>
      <family val="2"/>
    </font>
    <font>
      <sz val="8"/>
      <color theme="1"/>
      <name val="Arial"/>
      <family val="2"/>
    </font>
    <font>
      <sz val="9"/>
      <color theme="1"/>
      <name val="Calibri"/>
      <family val="2"/>
      <scheme val="minor"/>
    </font>
    <font>
      <b/>
      <u/>
      <sz val="12"/>
      <color theme="1"/>
      <name val="Calibri"/>
      <family val="2"/>
      <scheme val="minor"/>
    </font>
    <font>
      <sz val="12"/>
      <color rgb="FF000000"/>
      <name val="Calibri"/>
      <family val="2"/>
      <scheme val="minor"/>
    </font>
    <font>
      <sz val="12"/>
      <color theme="1"/>
      <name val="Times New Roman"/>
      <family val="1"/>
    </font>
    <font>
      <sz val="11"/>
      <color rgb="FF000000"/>
      <name val="Calibri"/>
      <family val="2"/>
    </font>
    <font>
      <sz val="9"/>
      <color theme="1"/>
      <name val="Times New Roman"/>
      <family val="1"/>
    </font>
    <font>
      <b/>
      <sz val="11"/>
      <color rgb="FFFFFFFF"/>
      <name val="Calibri"/>
      <family val="2"/>
    </font>
    <font>
      <b/>
      <sz val="11"/>
      <color rgb="FF000000"/>
      <name val="Calibri"/>
      <family val="2"/>
    </font>
    <font>
      <sz val="12"/>
      <color rgb="FF4E535A"/>
      <name val="Arial"/>
      <family val="2"/>
    </font>
    <font>
      <sz val="8"/>
      <color rgb="FF000000"/>
      <name val="Arial"/>
      <family val="2"/>
    </font>
    <font>
      <b/>
      <sz val="11"/>
      <color theme="1"/>
      <name val="Calibri"/>
      <family val="2"/>
      <scheme val="minor"/>
    </font>
    <font>
      <sz val="11"/>
      <color theme="1"/>
      <name val="Calibri"/>
      <family val="2"/>
      <scheme val="minor"/>
    </font>
    <font>
      <b/>
      <sz val="14"/>
      <color theme="5" tint="-0.249977111117893"/>
      <name val="Calibri"/>
      <family val="2"/>
      <scheme val="minor"/>
    </font>
    <font>
      <b/>
      <sz val="10"/>
      <color rgb="FF000000"/>
      <name val="Arial"/>
      <family val="2"/>
    </font>
    <font>
      <sz val="10"/>
      <color rgb="FF000000"/>
      <name val="Arial"/>
      <family val="2"/>
    </font>
    <font>
      <b/>
      <sz val="10"/>
      <color theme="1"/>
      <name val="Arial"/>
      <family val="2"/>
    </font>
    <font>
      <sz val="10"/>
      <color theme="1"/>
      <name val="Arial"/>
      <family val="2"/>
    </font>
    <font>
      <sz val="8"/>
      <color theme="1"/>
      <name val="Calibri"/>
      <family val="2"/>
      <scheme val="minor"/>
    </font>
    <font>
      <b/>
      <sz val="11"/>
      <color theme="0"/>
      <name val="Calibri"/>
      <family val="2"/>
      <scheme val="minor"/>
    </font>
    <font>
      <sz val="11"/>
      <color theme="1"/>
      <name val="Times New Roman"/>
      <family val="1"/>
    </font>
    <font>
      <b/>
      <sz val="12"/>
      <color theme="1"/>
      <name val="Times New Roman"/>
      <family val="1"/>
    </font>
    <font>
      <b/>
      <sz val="11"/>
      <color theme="0"/>
      <name val="Times New Roman"/>
      <family val="1"/>
    </font>
    <font>
      <b/>
      <sz val="11"/>
      <color theme="1"/>
      <name val="Times New Roman"/>
      <family val="1"/>
    </font>
    <font>
      <sz val="10"/>
      <name val="Arial"/>
      <family val="2"/>
    </font>
    <font>
      <b/>
      <sz val="11"/>
      <name val="Arial"/>
      <family val="2"/>
    </font>
    <font>
      <b/>
      <i/>
      <sz val="11"/>
      <name val="Arial"/>
      <family val="2"/>
    </font>
    <font>
      <b/>
      <u/>
      <sz val="10"/>
      <color theme="1"/>
      <name val="Arial"/>
      <family val="2"/>
    </font>
    <font>
      <sz val="10"/>
      <color theme="3"/>
      <name val="Arial"/>
      <family val="2"/>
    </font>
  </fonts>
  <fills count="17">
    <fill>
      <patternFill patternType="none"/>
    </fill>
    <fill>
      <patternFill patternType="gray125"/>
    </fill>
    <fill>
      <patternFill patternType="solid">
        <fgColor rgb="FFBDC0BF"/>
        <bgColor indexed="64"/>
      </patternFill>
    </fill>
    <fill>
      <patternFill patternType="solid">
        <fgColor rgb="FFE2E4E3"/>
        <bgColor indexed="64"/>
      </patternFill>
    </fill>
    <fill>
      <patternFill patternType="solid">
        <fgColor rgb="FFAEAAAA"/>
        <bgColor indexed="64"/>
      </patternFill>
    </fill>
    <fill>
      <patternFill patternType="solid">
        <fgColor rgb="FF262626"/>
        <bgColor indexed="64"/>
      </patternFill>
    </fill>
    <fill>
      <patternFill patternType="solid">
        <fgColor rgb="FFBDC0BF"/>
        <bgColor rgb="FF000000"/>
      </patternFill>
    </fill>
    <fill>
      <patternFill patternType="solid">
        <fgColor rgb="FFE2E4E3"/>
        <bgColor rgb="FF000000"/>
      </patternFill>
    </fill>
    <fill>
      <patternFill patternType="solid">
        <fgColor theme="4" tint="0.5999938962981048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1" tint="0.149998474074526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808080"/>
        <bgColor indexed="64"/>
      </patternFill>
    </fill>
  </fills>
  <borders count="5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style="medium">
        <color auto="1"/>
      </right>
      <top style="medium">
        <color auto="1"/>
      </top>
      <bottom/>
      <diagonal/>
    </border>
    <border>
      <left/>
      <right/>
      <top/>
      <bottom style="thin">
        <color auto="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auto="1"/>
      </top>
      <bottom/>
      <diagonal/>
    </border>
    <border>
      <left/>
      <right/>
      <top style="thin">
        <color auto="1"/>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style="medium">
        <color auto="1"/>
      </left>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thin">
        <color auto="1"/>
      </top>
      <bottom/>
      <diagonal/>
    </border>
    <border>
      <left style="thin">
        <color auto="1"/>
      </left>
      <right/>
      <top style="thin">
        <color auto="1"/>
      </top>
      <bottom/>
      <diagonal/>
    </border>
    <border>
      <left style="medium">
        <color auto="1"/>
      </left>
      <right/>
      <top style="medium">
        <color auto="1"/>
      </top>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style="medium">
        <color auto="1"/>
      </top>
      <bottom/>
      <diagonal/>
    </border>
    <border>
      <left/>
      <right/>
      <top style="medium">
        <color auto="1"/>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8">
    <xf numFmtId="0" fontId="0" fillId="0" borderId="0"/>
    <xf numFmtId="0" fontId="2" fillId="0" borderId="0"/>
    <xf numFmtId="0" fontId="3" fillId="0" borderId="0" applyNumberFormat="0" applyFill="0" applyBorder="0" applyAlignment="0" applyProtection="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8" fillId="0" borderId="0"/>
    <xf numFmtId="9" fontId="18" fillId="0" borderId="0" applyFont="0" applyFill="0" applyBorder="0" applyAlignment="0" applyProtection="0"/>
    <xf numFmtId="167" fontId="18" fillId="0" borderId="0" applyFont="0" applyFill="0" applyBorder="0" applyAlignment="0" applyProtection="0"/>
    <xf numFmtId="43" fontId="1" fillId="0" borderId="0" applyFont="0" applyFill="0" applyBorder="0" applyAlignment="0" applyProtection="0"/>
    <xf numFmtId="0" fontId="30" fillId="0" borderId="0"/>
  </cellStyleXfs>
  <cellXfs count="230">
    <xf numFmtId="0" fontId="0" fillId="0" borderId="0" xfId="0"/>
    <xf numFmtId="0" fontId="3" fillId="0" borderId="0" xfId="2" applyAlignment="1">
      <alignment horizontal="left" vertical="center"/>
    </xf>
    <xf numFmtId="0" fontId="5" fillId="3" borderId="0" xfId="0" applyFont="1" applyFill="1" applyAlignment="1">
      <alignment vertical="center" wrapText="1"/>
    </xf>
    <xf numFmtId="0" fontId="6" fillId="0" borderId="0" xfId="0" applyFont="1"/>
    <xf numFmtId="0" fontId="7" fillId="0" borderId="0" xfId="0" applyFont="1"/>
    <xf numFmtId="0" fontId="2" fillId="3" borderId="0" xfId="0" applyFont="1" applyFill="1" applyAlignment="1">
      <alignment vertical="center" wrapText="1"/>
    </xf>
    <xf numFmtId="164" fontId="2" fillId="3" borderId="0" xfId="0" applyNumberFormat="1" applyFont="1" applyFill="1" applyAlignment="1">
      <alignment vertical="center" wrapText="1"/>
    </xf>
    <xf numFmtId="0" fontId="8" fillId="0" borderId="0" xfId="0" applyFont="1"/>
    <xf numFmtId="0" fontId="10" fillId="0" borderId="0" xfId="0" applyFont="1" applyAlignment="1">
      <alignment vertical="center"/>
    </xf>
    <xf numFmtId="0" fontId="14" fillId="0" borderId="4" xfId="0" applyFont="1" applyBorder="1" applyAlignment="1">
      <alignment vertical="center"/>
    </xf>
    <xf numFmtId="0" fontId="11" fillId="0" borderId="5" xfId="0" applyFont="1" applyBorder="1" applyAlignment="1">
      <alignment horizontal="right" vertical="center"/>
    </xf>
    <xf numFmtId="3" fontId="11" fillId="0" borderId="5" xfId="0" applyNumberFormat="1" applyFont="1" applyBorder="1" applyAlignment="1">
      <alignment horizontal="right" vertical="center"/>
    </xf>
    <xf numFmtId="3" fontId="14" fillId="0" borderId="5" xfId="0" applyNumberFormat="1" applyFont="1" applyBorder="1" applyAlignment="1">
      <alignment horizontal="right" vertical="center"/>
    </xf>
    <xf numFmtId="0" fontId="15" fillId="0" borderId="0" xfId="0" applyFont="1" applyAlignment="1">
      <alignment vertical="center"/>
    </xf>
    <xf numFmtId="0" fontId="12" fillId="0" borderId="0" xfId="0" applyFont="1" applyAlignment="1">
      <alignment vertical="center"/>
    </xf>
    <xf numFmtId="0" fontId="5" fillId="7" borderId="0" xfId="0" applyFont="1" applyFill="1" applyAlignment="1">
      <alignment vertical="center" wrapText="1"/>
    </xf>
    <xf numFmtId="0" fontId="2" fillId="7" borderId="0" xfId="0" applyFont="1" applyFill="1" applyAlignment="1">
      <alignment vertical="center" wrapText="1"/>
    </xf>
    <xf numFmtId="0" fontId="16" fillId="0" borderId="0" xfId="0" applyFont="1"/>
    <xf numFmtId="0" fontId="9" fillId="0" borderId="0" xfId="0" applyFont="1"/>
    <xf numFmtId="0" fontId="19" fillId="0" borderId="0" xfId="23" applyFont="1"/>
    <xf numFmtId="0" fontId="18" fillId="0" borderId="0" xfId="23"/>
    <xf numFmtId="0" fontId="18" fillId="0" borderId="8" xfId="23" applyBorder="1"/>
    <xf numFmtId="0" fontId="18" fillId="0" borderId="21" xfId="23" applyBorder="1"/>
    <xf numFmtId="0" fontId="18" fillId="0" borderId="22" xfId="23" applyBorder="1"/>
    <xf numFmtId="0" fontId="20" fillId="0" borderId="23" xfId="23" applyFont="1" applyBorder="1" applyAlignment="1">
      <alignment horizontal="right" vertical="center"/>
    </xf>
    <xf numFmtId="0" fontId="20" fillId="0" borderId="1" xfId="23" applyFont="1" applyBorder="1" applyAlignment="1">
      <alignment horizontal="center" vertical="center" wrapText="1"/>
    </xf>
    <xf numFmtId="0" fontId="20" fillId="0" borderId="23" xfId="23" applyFont="1" applyBorder="1" applyAlignment="1">
      <alignment horizontal="center" vertical="center" wrapText="1"/>
    </xf>
    <xf numFmtId="0" fontId="20" fillId="0" borderId="24" xfId="23" applyFont="1" applyBorder="1" applyAlignment="1">
      <alignment vertical="center"/>
    </xf>
    <xf numFmtId="3" fontId="21" fillId="0" borderId="25" xfId="23" applyNumberFormat="1" applyFont="1" applyBorder="1" applyAlignment="1">
      <alignment horizontal="right" vertical="center" wrapText="1"/>
    </xf>
    <xf numFmtId="3" fontId="21" fillId="0" borderId="24" xfId="23" applyNumberFormat="1" applyFont="1" applyBorder="1" applyAlignment="1">
      <alignment horizontal="right" vertical="center" wrapText="1"/>
    </xf>
    <xf numFmtId="0" fontId="20" fillId="8" borderId="24" xfId="23" applyFont="1" applyFill="1" applyBorder="1" applyAlignment="1">
      <alignment vertical="center"/>
    </xf>
    <xf numFmtId="3" fontId="21" fillId="8" borderId="25" xfId="23" applyNumberFormat="1" applyFont="1" applyFill="1" applyBorder="1" applyAlignment="1">
      <alignment horizontal="right" vertical="center" wrapText="1"/>
    </xf>
    <xf numFmtId="3" fontId="21" fillId="8" borderId="24" xfId="23" applyNumberFormat="1" applyFont="1" applyFill="1" applyBorder="1" applyAlignment="1">
      <alignment horizontal="right" vertical="center" wrapText="1"/>
    </xf>
    <xf numFmtId="9" fontId="21" fillId="0" borderId="25" xfId="23" applyNumberFormat="1" applyFont="1" applyBorder="1" applyAlignment="1">
      <alignment horizontal="right" vertical="center" wrapText="1"/>
    </xf>
    <xf numFmtId="9" fontId="21" fillId="0" borderId="24" xfId="23" applyNumberFormat="1" applyFont="1" applyBorder="1" applyAlignment="1">
      <alignment horizontal="right" vertical="center" wrapText="1"/>
    </xf>
    <xf numFmtId="0" fontId="20" fillId="8" borderId="4" xfId="23" applyFont="1" applyFill="1" applyBorder="1" applyAlignment="1">
      <alignment vertical="center"/>
    </xf>
    <xf numFmtId="0" fontId="16" fillId="0" borderId="0" xfId="23" applyFont="1" applyAlignment="1">
      <alignment vertical="center"/>
    </xf>
    <xf numFmtId="0" fontId="21" fillId="0" borderId="0" xfId="23" applyFont="1" applyAlignment="1">
      <alignment vertical="center"/>
    </xf>
    <xf numFmtId="0" fontId="22" fillId="9" borderId="27" xfId="23" applyFont="1" applyFill="1" applyBorder="1" applyAlignment="1">
      <alignment horizontal="center"/>
    </xf>
    <xf numFmtId="0" fontId="5" fillId="9" borderId="28" xfId="23" applyFont="1" applyFill="1" applyBorder="1" applyAlignment="1">
      <alignment wrapText="1"/>
    </xf>
    <xf numFmtId="0" fontId="5" fillId="9" borderId="28" xfId="23" applyFont="1" applyFill="1" applyBorder="1"/>
    <xf numFmtId="9" fontId="22" fillId="0" borderId="27" xfId="24" applyFont="1" applyBorder="1" applyAlignment="1">
      <alignment horizontal="center"/>
    </xf>
    <xf numFmtId="9" fontId="23" fillId="0" borderId="28" xfId="24" applyFont="1" applyBorder="1"/>
    <xf numFmtId="9" fontId="22" fillId="0" borderId="28" xfId="24" applyFont="1" applyBorder="1"/>
    <xf numFmtId="0" fontId="24" fillId="0" borderId="0" xfId="23" applyFont="1"/>
    <xf numFmtId="9" fontId="23" fillId="0" borderId="0" xfId="24" applyFont="1"/>
    <xf numFmtId="9" fontId="22" fillId="0" borderId="0" xfId="24" applyFont="1"/>
    <xf numFmtId="0" fontId="18" fillId="0" borderId="20" xfId="23" applyBorder="1"/>
    <xf numFmtId="0" fontId="18" fillId="0" borderId="28" xfId="23" applyBorder="1"/>
    <xf numFmtId="0" fontId="18" fillId="0" borderId="28" xfId="23" applyBorder="1" applyAlignment="1">
      <alignment horizontal="center" wrapText="1"/>
    </xf>
    <xf numFmtId="0" fontId="17" fillId="0" borderId="28" xfId="23" applyFont="1" applyBorder="1"/>
    <xf numFmtId="164" fontId="18" fillId="0" borderId="28" xfId="23" applyNumberFormat="1" applyBorder="1"/>
    <xf numFmtId="164" fontId="17" fillId="0" borderId="28" xfId="23" applyNumberFormat="1" applyFont="1" applyBorder="1"/>
    <xf numFmtId="168" fontId="0" fillId="0" borderId="28" xfId="25" applyNumberFormat="1" applyFont="1" applyBorder="1"/>
    <xf numFmtId="164" fontId="18" fillId="0" borderId="28" xfId="24" applyNumberFormat="1" applyBorder="1"/>
    <xf numFmtId="164" fontId="17" fillId="0" borderId="28" xfId="24" applyNumberFormat="1" applyFont="1" applyBorder="1"/>
    <xf numFmtId="164" fontId="18" fillId="0" borderId="28" xfId="23" applyNumberFormat="1" applyBorder="1" applyAlignment="1">
      <alignment horizontal="right"/>
    </xf>
    <xf numFmtId="164" fontId="17" fillId="0" borderId="28" xfId="23" applyNumberFormat="1" applyFont="1" applyBorder="1" applyAlignment="1">
      <alignment horizontal="right"/>
    </xf>
    <xf numFmtId="0" fontId="22" fillId="0" borderId="27" xfId="23" applyFont="1" applyBorder="1" applyAlignment="1">
      <alignment horizontal="center"/>
    </xf>
    <xf numFmtId="0" fontId="23" fillId="8" borderId="28" xfId="23" applyFont="1" applyFill="1" applyBorder="1"/>
    <xf numFmtId="0" fontId="22" fillId="8" borderId="28" xfId="23" applyFont="1" applyFill="1" applyBorder="1"/>
    <xf numFmtId="9" fontId="22" fillId="0" borderId="27" xfId="24" applyFont="1" applyBorder="1" applyAlignment="1">
      <alignment horizontal="center" vertical="center" wrapText="1"/>
    </xf>
    <xf numFmtId="168" fontId="23" fillId="0" borderId="28" xfId="25" applyNumberFormat="1" applyFont="1" applyBorder="1"/>
    <xf numFmtId="168" fontId="22" fillId="0" borderId="28" xfId="25" applyNumberFormat="1" applyFont="1" applyBorder="1"/>
    <xf numFmtId="9" fontId="22" fillId="0" borderId="28" xfId="24" applyFont="1" applyBorder="1" applyAlignment="1">
      <alignment horizontal="center" vertical="center" wrapText="1"/>
    </xf>
    <xf numFmtId="168" fontId="22" fillId="0" borderId="29" xfId="25" applyNumberFormat="1" applyFont="1" applyBorder="1"/>
    <xf numFmtId="0" fontId="25" fillId="11" borderId="28" xfId="23" applyFont="1" applyFill="1" applyBorder="1" applyAlignment="1">
      <alignment horizontal="center" wrapText="1"/>
    </xf>
    <xf numFmtId="0" fontId="25" fillId="10" borderId="28" xfId="23" applyFont="1" applyFill="1" applyBorder="1" applyAlignment="1">
      <alignment horizontal="center" wrapText="1"/>
    </xf>
    <xf numFmtId="168" fontId="0" fillId="0" borderId="28" xfId="25" applyNumberFormat="1" applyFont="1" applyBorder="1" applyAlignment="1">
      <alignment horizontal="center"/>
    </xf>
    <xf numFmtId="169" fontId="0" fillId="0" borderId="28" xfId="25" applyNumberFormat="1" applyFont="1" applyBorder="1"/>
    <xf numFmtId="168" fontId="17" fillId="0" borderId="28" xfId="23" applyNumberFormat="1" applyFont="1" applyBorder="1"/>
    <xf numFmtId="0" fontId="20" fillId="0" borderId="2" xfId="23" applyFont="1" applyBorder="1" applyAlignment="1">
      <alignment horizontal="center" vertical="center"/>
    </xf>
    <xf numFmtId="0" fontId="20" fillId="0" borderId="3" xfId="23" applyFont="1" applyBorder="1" applyAlignment="1">
      <alignment horizontal="center" vertical="center"/>
    </xf>
    <xf numFmtId="0" fontId="20" fillId="0" borderId="2" xfId="23" applyFont="1" applyBorder="1" applyAlignment="1">
      <alignment horizontal="center" vertical="center" wrapText="1"/>
    </xf>
    <xf numFmtId="0" fontId="20" fillId="0" borderId="1" xfId="23" applyFont="1" applyBorder="1" applyAlignment="1">
      <alignment horizontal="center" vertical="center"/>
    </xf>
    <xf numFmtId="3" fontId="21" fillId="0" borderId="0" xfId="23" applyNumberFormat="1" applyFont="1" applyAlignment="1">
      <alignment horizontal="right" vertical="center" wrapText="1"/>
    </xf>
    <xf numFmtId="3" fontId="21" fillId="0" borderId="6" xfId="23" applyNumberFormat="1" applyFont="1" applyBorder="1" applyAlignment="1">
      <alignment horizontal="right" vertical="center" wrapText="1"/>
    </xf>
    <xf numFmtId="3" fontId="21" fillId="0" borderId="25" xfId="23" applyNumberFormat="1" applyFont="1" applyBorder="1" applyAlignment="1">
      <alignment horizontal="right" vertical="center"/>
    </xf>
    <xf numFmtId="3" fontId="21" fillId="0" borderId="0" xfId="23" applyNumberFormat="1" applyFont="1" applyAlignment="1">
      <alignment horizontal="right" vertical="center"/>
    </xf>
    <xf numFmtId="3" fontId="21" fillId="0" borderId="6" xfId="23" applyNumberFormat="1" applyFont="1" applyBorder="1" applyAlignment="1">
      <alignment horizontal="right" vertical="center"/>
    </xf>
    <xf numFmtId="0" fontId="20" fillId="0" borderId="23" xfId="23" applyFont="1" applyBorder="1" applyAlignment="1">
      <alignment vertical="center"/>
    </xf>
    <xf numFmtId="9" fontId="21" fillId="0" borderId="1" xfId="23" applyNumberFormat="1" applyFont="1" applyBorder="1" applyAlignment="1">
      <alignment horizontal="right" vertical="center" wrapText="1"/>
    </xf>
    <xf numFmtId="9" fontId="21" fillId="0" borderId="2" xfId="23" applyNumberFormat="1" applyFont="1" applyBorder="1" applyAlignment="1">
      <alignment horizontal="right" vertical="center" wrapText="1"/>
    </xf>
    <xf numFmtId="9" fontId="21" fillId="0" borderId="3" xfId="23" applyNumberFormat="1" applyFont="1" applyBorder="1" applyAlignment="1">
      <alignment horizontal="right" vertical="center" wrapText="1"/>
    </xf>
    <xf numFmtId="0" fontId="17" fillId="0" borderId="0" xfId="23" applyFont="1"/>
    <xf numFmtId="0" fontId="22" fillId="8" borderId="27" xfId="23" applyFont="1" applyFill="1" applyBorder="1" applyAlignment="1">
      <alignment horizontal="center"/>
    </xf>
    <xf numFmtId="0" fontId="18" fillId="0" borderId="39" xfId="23" applyBorder="1"/>
    <xf numFmtId="0" fontId="18" fillId="0" borderId="25" xfId="23" applyBorder="1"/>
    <xf numFmtId="0" fontId="17" fillId="0" borderId="25" xfId="23" applyFont="1" applyBorder="1" applyAlignment="1">
      <alignment horizontal="center"/>
    </xf>
    <xf numFmtId="0" fontId="17" fillId="0" borderId="6" xfId="23" applyFont="1" applyBorder="1" applyAlignment="1">
      <alignment horizontal="center"/>
    </xf>
    <xf numFmtId="164" fontId="17" fillId="0" borderId="6" xfId="24" applyNumberFormat="1" applyFont="1" applyBorder="1" applyAlignment="1">
      <alignment horizontal="center"/>
    </xf>
    <xf numFmtId="0" fontId="17" fillId="0" borderId="40" xfId="23" applyFont="1" applyBorder="1"/>
    <xf numFmtId="0" fontId="17" fillId="0" borderId="41" xfId="23" applyFont="1" applyBorder="1" applyAlignment="1">
      <alignment horizontal="center"/>
    </xf>
    <xf numFmtId="0" fontId="17" fillId="0" borderId="42" xfId="23" applyFont="1" applyBorder="1" applyAlignment="1">
      <alignment horizontal="center"/>
    </xf>
    <xf numFmtId="0" fontId="18" fillId="0" borderId="43" xfId="23" applyBorder="1"/>
    <xf numFmtId="0" fontId="18" fillId="0" borderId="39" xfId="23" applyBorder="1" applyAlignment="1">
      <alignment wrapText="1"/>
    </xf>
    <xf numFmtId="0" fontId="18" fillId="0" borderId="6" xfId="23" applyBorder="1"/>
    <xf numFmtId="0" fontId="18" fillId="0" borderId="26" xfId="23" applyBorder="1"/>
    <xf numFmtId="0" fontId="18" fillId="0" borderId="5" xfId="23" applyBorder="1"/>
    <xf numFmtId="0" fontId="18" fillId="0" borderId="44" xfId="23" applyBorder="1"/>
    <xf numFmtId="0" fontId="13" fillId="5" borderId="7" xfId="0" applyFont="1" applyFill="1" applyBorder="1" applyAlignment="1">
      <alignment horizontal="center" vertical="center" wrapText="1"/>
    </xf>
    <xf numFmtId="0" fontId="11" fillId="0" borderId="7" xfId="0" applyFont="1" applyBorder="1" applyAlignment="1">
      <alignment vertical="center"/>
    </xf>
    <xf numFmtId="0" fontId="22" fillId="14" borderId="45" xfId="0" applyFont="1" applyFill="1" applyBorder="1"/>
    <xf numFmtId="0" fontId="22" fillId="14" borderId="46" xfId="0" applyFont="1" applyFill="1" applyBorder="1"/>
    <xf numFmtId="0" fontId="22" fillId="15" borderId="47" xfId="0" applyFont="1" applyFill="1" applyBorder="1"/>
    <xf numFmtId="168" fontId="23" fillId="9" borderId="49" xfId="26" applyNumberFormat="1" applyFont="1" applyFill="1" applyBorder="1"/>
    <xf numFmtId="168" fontId="23" fillId="9" borderId="28" xfId="26" applyNumberFormat="1" applyFont="1" applyFill="1" applyBorder="1"/>
    <xf numFmtId="168" fontId="22" fillId="9" borderId="50" xfId="26" applyNumberFormat="1" applyFont="1" applyFill="1" applyBorder="1"/>
    <xf numFmtId="168" fontId="23" fillId="9" borderId="48" xfId="26" applyNumberFormat="1" applyFont="1" applyFill="1" applyBorder="1"/>
    <xf numFmtId="168" fontId="17" fillId="0" borderId="0" xfId="0" applyNumberFormat="1" applyFont="1"/>
    <xf numFmtId="168" fontId="22" fillId="9" borderId="49" xfId="26" applyNumberFormat="1" applyFont="1" applyFill="1" applyBorder="1"/>
    <xf numFmtId="168" fontId="22" fillId="9" borderId="0" xfId="26" applyNumberFormat="1" applyFont="1" applyFill="1" applyBorder="1"/>
    <xf numFmtId="168" fontId="23" fillId="9" borderId="27" xfId="26" applyNumberFormat="1" applyFont="1" applyFill="1" applyBorder="1"/>
    <xf numFmtId="168" fontId="23" fillId="9" borderId="52" xfId="26" applyNumberFormat="1" applyFont="1" applyFill="1" applyBorder="1"/>
    <xf numFmtId="168" fontId="23" fillId="9" borderId="53" xfId="26" applyNumberFormat="1" applyFont="1" applyFill="1" applyBorder="1"/>
    <xf numFmtId="168" fontId="23" fillId="9" borderId="51" xfId="26" applyNumberFormat="1" applyFont="1" applyFill="1" applyBorder="1"/>
    <xf numFmtId="168" fontId="23" fillId="9" borderId="50" xfId="26" applyNumberFormat="1" applyFont="1" applyFill="1" applyBorder="1"/>
    <xf numFmtId="0" fontId="27" fillId="0" borderId="0" xfId="0" applyFont="1"/>
    <xf numFmtId="0" fontId="26" fillId="0" borderId="28" xfId="23" applyFont="1" applyBorder="1"/>
    <xf numFmtId="0" fontId="28" fillId="12" borderId="28" xfId="23" applyFont="1" applyFill="1" applyBorder="1" applyAlignment="1">
      <alignment horizontal="center" wrapText="1"/>
    </xf>
    <xf numFmtId="0" fontId="28" fillId="11" borderId="28" xfId="23" applyFont="1" applyFill="1" applyBorder="1" applyAlignment="1">
      <alignment horizontal="center" wrapText="1"/>
    </xf>
    <xf numFmtId="0" fontId="29" fillId="0" borderId="28" xfId="23" applyFont="1" applyBorder="1"/>
    <xf numFmtId="168" fontId="10" fillId="0" borderId="28" xfId="25" applyNumberFormat="1" applyFont="1" applyBorder="1"/>
    <xf numFmtId="164" fontId="26" fillId="0" borderId="28" xfId="23" applyNumberFormat="1" applyFont="1" applyBorder="1"/>
    <xf numFmtId="0" fontId="26" fillId="0" borderId="28" xfId="23" applyFont="1" applyBorder="1" applyAlignment="1">
      <alignment horizontal="right"/>
    </xf>
    <xf numFmtId="0" fontId="26" fillId="0" borderId="0" xfId="23" applyFont="1" applyBorder="1"/>
    <xf numFmtId="0" fontId="13" fillId="16" borderId="44" xfId="0" applyFont="1" applyFill="1" applyBorder="1" applyAlignment="1">
      <alignment horizontal="center" vertical="center" wrapText="1"/>
    </xf>
    <xf numFmtId="0" fontId="13" fillId="16" borderId="7" xfId="0" applyFont="1" applyFill="1" applyBorder="1" applyAlignment="1">
      <alignment horizontal="center" vertical="center" wrapText="1"/>
    </xf>
    <xf numFmtId="0" fontId="14" fillId="0" borderId="4" xfId="0" applyFont="1" applyBorder="1" applyAlignment="1">
      <alignment horizontal="right" vertical="center"/>
    </xf>
    <xf numFmtId="0" fontId="14" fillId="0" borderId="23" xfId="0" applyFont="1" applyBorder="1" applyAlignment="1">
      <alignment vertical="center"/>
    </xf>
    <xf numFmtId="0" fontId="30" fillId="0" borderId="0" xfId="27"/>
    <xf numFmtId="0" fontId="10" fillId="0" borderId="0" xfId="0" applyFont="1"/>
    <xf numFmtId="168" fontId="0" fillId="0" borderId="0" xfId="0" applyNumberFormat="1"/>
    <xf numFmtId="164" fontId="20" fillId="8" borderId="26" xfId="23" applyNumberFormat="1" applyFont="1" applyFill="1" applyBorder="1" applyAlignment="1">
      <alignment horizontal="right" vertical="center" wrapText="1"/>
    </xf>
    <xf numFmtId="164" fontId="20" fillId="8" borderId="4" xfId="23" applyNumberFormat="1" applyFont="1" applyFill="1" applyBorder="1" applyAlignment="1">
      <alignment horizontal="right" vertical="center" wrapText="1"/>
    </xf>
    <xf numFmtId="164" fontId="23" fillId="0" borderId="28" xfId="24" applyNumberFormat="1" applyFont="1" applyBorder="1"/>
    <xf numFmtId="164" fontId="22" fillId="0" borderId="28" xfId="24" applyNumberFormat="1" applyFont="1" applyBorder="1"/>
    <xf numFmtId="164" fontId="11" fillId="0" borderId="5" xfId="0" applyNumberFormat="1" applyFont="1" applyBorder="1" applyAlignment="1">
      <alignment horizontal="right" vertical="center"/>
    </xf>
    <xf numFmtId="0" fontId="2" fillId="0" borderId="0" xfId="27" applyFont="1"/>
    <xf numFmtId="165" fontId="2" fillId="0" borderId="0" xfId="27" applyNumberFormat="1" applyFont="1"/>
    <xf numFmtId="166" fontId="2" fillId="0" borderId="0" xfId="27" applyNumberFormat="1" applyFont="1"/>
    <xf numFmtId="0" fontId="23" fillId="0" borderId="0" xfId="0" applyFont="1"/>
    <xf numFmtId="0" fontId="22" fillId="0" borderId="0" xfId="0" applyFont="1"/>
    <xf numFmtId="166" fontId="23" fillId="0" borderId="0" xfId="0" applyNumberFormat="1" applyFont="1"/>
    <xf numFmtId="164" fontId="23" fillId="0" borderId="0" xfId="0" applyNumberFormat="1" applyFont="1"/>
    <xf numFmtId="0" fontId="5" fillId="0" borderId="0" xfId="27" applyFont="1"/>
    <xf numFmtId="0" fontId="31" fillId="0" borderId="0" xfId="1" applyFont="1" applyAlignment="1">
      <alignment horizontal="left" vertical="center"/>
    </xf>
    <xf numFmtId="0" fontId="33" fillId="0" borderId="0" xfId="0" applyFont="1"/>
    <xf numFmtId="3" fontId="23" fillId="0" borderId="0" xfId="0" applyNumberFormat="1" applyFont="1"/>
    <xf numFmtId="0" fontId="23" fillId="0" borderId="0" xfId="0" applyFont="1" applyAlignment="1">
      <alignment wrapText="1"/>
    </xf>
    <xf numFmtId="0" fontId="23" fillId="0" borderId="23" xfId="0" applyFont="1" applyBorder="1" applyAlignment="1">
      <alignment vertical="center" wrapText="1"/>
    </xf>
    <xf numFmtId="0" fontId="23" fillId="0" borderId="3" xfId="0" applyFont="1" applyBorder="1" applyAlignment="1">
      <alignment vertical="center" wrapText="1"/>
    </xf>
    <xf numFmtId="14" fontId="23" fillId="0" borderId="4" xfId="0" applyNumberFormat="1" applyFont="1" applyBorder="1" applyAlignment="1">
      <alignment vertical="center" wrapText="1"/>
    </xf>
    <xf numFmtId="3" fontId="23" fillId="0" borderId="23" xfId="0" applyNumberFormat="1" applyFont="1" applyBorder="1"/>
    <xf numFmtId="8" fontId="23" fillId="0" borderId="5" xfId="0" applyNumberFormat="1" applyFont="1" applyBorder="1" applyAlignment="1">
      <alignment vertical="center" wrapText="1"/>
    </xf>
    <xf numFmtId="6" fontId="23" fillId="0" borderId="5" xfId="0" applyNumberFormat="1" applyFont="1" applyBorder="1" applyAlignment="1">
      <alignment vertical="center" wrapText="1"/>
    </xf>
    <xf numFmtId="8" fontId="23" fillId="0" borderId="0" xfId="0" applyNumberFormat="1" applyFont="1"/>
    <xf numFmtId="0" fontId="22" fillId="0" borderId="1" xfId="0" applyFont="1" applyBorder="1" applyAlignment="1">
      <alignment vertical="center" wrapText="1"/>
    </xf>
    <xf numFmtId="3" fontId="23" fillId="0" borderId="2" xfId="0" applyNumberFormat="1" applyFont="1" applyBorder="1"/>
    <xf numFmtId="8" fontId="23" fillId="0" borderId="2" xfId="0" applyNumberFormat="1" applyFont="1" applyBorder="1" applyAlignment="1">
      <alignment vertical="center" wrapText="1"/>
    </xf>
    <xf numFmtId="6" fontId="22" fillId="0" borderId="3" xfId="0" applyNumberFormat="1" applyFont="1" applyBorder="1" applyAlignment="1">
      <alignment vertical="center" wrapText="1"/>
    </xf>
    <xf numFmtId="0" fontId="34" fillId="0" borderId="0" xfId="2" applyFont="1" applyAlignment="1">
      <alignment vertical="center"/>
    </xf>
    <xf numFmtId="0" fontId="23" fillId="0" borderId="0" xfId="0" applyFont="1" applyAlignment="1">
      <alignment vertical="center"/>
    </xf>
    <xf numFmtId="0" fontId="23" fillId="0" borderId="38" xfId="0" applyFont="1" applyBorder="1"/>
    <xf numFmtId="0" fontId="22" fillId="0" borderId="20" xfId="0" applyFont="1" applyBorder="1"/>
    <xf numFmtId="0" fontId="22" fillId="0" borderId="20" xfId="0" quotePrefix="1" applyFont="1" applyBorder="1"/>
    <xf numFmtId="0" fontId="22" fillId="0" borderId="37" xfId="0" applyFont="1" applyBorder="1"/>
    <xf numFmtId="0" fontId="23" fillId="0" borderId="54" xfId="0" applyFont="1" applyBorder="1"/>
    <xf numFmtId="0" fontId="23" fillId="0" borderId="0" xfId="0" applyFont="1" applyBorder="1"/>
    <xf numFmtId="2" fontId="23" fillId="0" borderId="55" xfId="0" applyNumberFormat="1" applyFont="1" applyBorder="1"/>
    <xf numFmtId="0" fontId="23" fillId="0" borderId="55" xfId="0" applyFont="1" applyBorder="1"/>
    <xf numFmtId="0" fontId="22" fillId="0" borderId="54" xfId="0" applyFont="1" applyBorder="1"/>
    <xf numFmtId="0" fontId="22" fillId="0" borderId="56" xfId="0" applyFont="1" applyBorder="1"/>
    <xf numFmtId="0" fontId="23" fillId="0" borderId="8" xfId="0" applyFont="1" applyBorder="1"/>
    <xf numFmtId="2" fontId="23" fillId="0" borderId="57" xfId="0" applyNumberFormat="1" applyFont="1" applyBorder="1"/>
    <xf numFmtId="2" fontId="23" fillId="0" borderId="0" xfId="0" applyNumberFormat="1" applyFont="1"/>
    <xf numFmtId="0" fontId="25" fillId="10" borderId="28" xfId="23" applyFont="1" applyFill="1" applyBorder="1" applyAlignment="1">
      <alignment horizontal="center"/>
    </xf>
    <xf numFmtId="0" fontId="25" fillId="10" borderId="30" xfId="23" applyFont="1" applyFill="1" applyBorder="1" applyAlignment="1">
      <alignment horizontal="center" vertical="center" wrapText="1"/>
    </xf>
    <xf numFmtId="0" fontId="25" fillId="10" borderId="31" xfId="23" applyFont="1" applyFill="1" applyBorder="1" applyAlignment="1">
      <alignment horizontal="center" vertical="center" wrapText="1"/>
    </xf>
    <xf numFmtId="0" fontId="25" fillId="11" borderId="32" xfId="23" applyFont="1" applyFill="1" applyBorder="1" applyAlignment="1">
      <alignment horizontal="center" vertical="center" wrapText="1"/>
    </xf>
    <xf numFmtId="0" fontId="25" fillId="11" borderId="33" xfId="23" applyFont="1" applyFill="1" applyBorder="1" applyAlignment="1">
      <alignment horizontal="center" vertical="center" wrapText="1"/>
    </xf>
    <xf numFmtId="0" fontId="25" fillId="10" borderId="32" xfId="23" applyFont="1" applyFill="1" applyBorder="1" applyAlignment="1">
      <alignment horizontal="center" vertical="center" wrapText="1"/>
    </xf>
    <xf numFmtId="0" fontId="25" fillId="10" borderId="33" xfId="23" applyFont="1" applyFill="1" applyBorder="1" applyAlignment="1">
      <alignment horizontal="center" vertical="center" wrapText="1"/>
    </xf>
    <xf numFmtId="0" fontId="25" fillId="10" borderId="27" xfId="23" applyFont="1" applyFill="1" applyBorder="1" applyAlignment="1">
      <alignment horizontal="center" vertical="center" wrapText="1"/>
    </xf>
    <xf numFmtId="0" fontId="20" fillId="0" borderId="34" xfId="23" applyFont="1" applyBorder="1" applyAlignment="1">
      <alignment horizontal="center" vertical="center" wrapText="1"/>
    </xf>
    <xf numFmtId="0" fontId="20" fillId="0" borderId="35" xfId="23" applyFont="1" applyBorder="1" applyAlignment="1">
      <alignment horizontal="center" vertical="center" wrapText="1"/>
    </xf>
    <xf numFmtId="0" fontId="20" fillId="0" borderId="36" xfId="23" applyFont="1" applyBorder="1" applyAlignment="1">
      <alignment horizontal="center" vertical="center" wrapText="1"/>
    </xf>
    <xf numFmtId="0" fontId="20" fillId="9" borderId="34" xfId="23" applyFont="1" applyFill="1" applyBorder="1" applyAlignment="1">
      <alignment horizontal="center" vertical="center" wrapText="1"/>
    </xf>
    <xf numFmtId="0" fontId="20" fillId="9" borderId="35" xfId="23" applyFont="1" applyFill="1" applyBorder="1" applyAlignment="1">
      <alignment horizontal="center" vertical="center" wrapText="1"/>
    </xf>
    <xf numFmtId="0" fontId="20" fillId="9" borderId="36" xfId="23" applyFont="1" applyFill="1" applyBorder="1" applyAlignment="1">
      <alignment horizontal="center" vertical="center" wrapText="1"/>
    </xf>
    <xf numFmtId="0" fontId="20" fillId="0" borderId="37" xfId="23" applyFont="1" applyBorder="1" applyAlignment="1">
      <alignment horizontal="center" vertical="center" wrapText="1"/>
    </xf>
    <xf numFmtId="0" fontId="20" fillId="0" borderId="32" xfId="23" applyFont="1" applyBorder="1" applyAlignment="1">
      <alignment horizontal="center" vertical="center" wrapText="1"/>
    </xf>
    <xf numFmtId="0" fontId="20" fillId="0" borderId="38" xfId="23" applyFont="1" applyBorder="1" applyAlignment="1">
      <alignment horizontal="center" vertical="center" wrapText="1"/>
    </xf>
    <xf numFmtId="0" fontId="20" fillId="0" borderId="34" xfId="23" applyFont="1" applyBorder="1" applyAlignment="1">
      <alignment horizontal="center" vertical="center"/>
    </xf>
    <xf numFmtId="0" fontId="20" fillId="0" borderId="35" xfId="23" applyFont="1" applyBorder="1" applyAlignment="1">
      <alignment horizontal="center" vertical="center"/>
    </xf>
    <xf numFmtId="0" fontId="20" fillId="0" borderId="36" xfId="23" applyFont="1" applyBorder="1" applyAlignment="1">
      <alignment horizontal="center" vertical="center"/>
    </xf>
    <xf numFmtId="0" fontId="17" fillId="8" borderId="1" xfId="23" applyFont="1" applyFill="1" applyBorder="1" applyAlignment="1">
      <alignment horizontal="center"/>
    </xf>
    <xf numFmtId="0" fontId="17" fillId="8" borderId="3" xfId="23" applyFont="1" applyFill="1" applyBorder="1" applyAlignment="1">
      <alignment horizontal="center"/>
    </xf>
    <xf numFmtId="0" fontId="17" fillId="13" borderId="1" xfId="23" applyFont="1" applyFill="1" applyBorder="1" applyAlignment="1">
      <alignment horizontal="center"/>
    </xf>
    <xf numFmtId="0" fontId="17" fillId="13" borderId="3" xfId="23" applyFont="1" applyFill="1" applyBorder="1" applyAlignment="1">
      <alignment horizontal="center"/>
    </xf>
    <xf numFmtId="0" fontId="13" fillId="4" borderId="7"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1" fillId="0" borderId="7" xfId="0" applyFont="1" applyBorder="1" applyAlignment="1">
      <alignment vertical="center"/>
    </xf>
    <xf numFmtId="0" fontId="11" fillId="0" borderId="4" xfId="0" applyFont="1" applyBorder="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9" xfId="0" applyFont="1" applyFill="1" applyBorder="1" applyAlignment="1">
      <alignment vertical="center" wrapText="1"/>
    </xf>
    <xf numFmtId="0" fontId="5" fillId="2" borderId="17" xfId="0" applyFont="1" applyFill="1" applyBorder="1" applyAlignment="1">
      <alignment vertical="center" wrapText="1"/>
    </xf>
    <xf numFmtId="0" fontId="5" fillId="2" borderId="18" xfId="0" applyFont="1" applyFill="1" applyBorder="1" applyAlignment="1">
      <alignment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19" xfId="0" applyFont="1" applyFill="1" applyBorder="1" applyAlignment="1">
      <alignment vertical="center" wrapText="1"/>
    </xf>
    <xf numFmtId="0" fontId="5" fillId="6" borderId="17" xfId="0" applyFont="1" applyFill="1" applyBorder="1" applyAlignment="1">
      <alignment vertical="center" wrapText="1"/>
    </xf>
    <xf numFmtId="0" fontId="5" fillId="6" borderId="18" xfId="0" applyFont="1" applyFill="1" applyBorder="1" applyAlignment="1">
      <alignment vertical="center" wrapText="1"/>
    </xf>
  </cellXfs>
  <cellStyles count="28">
    <cellStyle name="Comma" xfId="26" builtinId="3"/>
    <cellStyle name="Comma 2" xfId="25" xr:uid="{00000000-0005-0000-0000-000001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Hyperlink" xfId="2" builtinId="8"/>
    <cellStyle name="Normal" xfId="0" builtinId="0"/>
    <cellStyle name="Normal 2" xfId="3" xr:uid="{00000000-0005-0000-0000-000017000000}"/>
    <cellStyle name="Normal 3" xfId="23" xr:uid="{00000000-0005-0000-0000-000018000000}"/>
    <cellStyle name="Normal 4" xfId="27" xr:uid="{00000000-0005-0000-0000-000019000000}"/>
    <cellStyle name="Normal 5" xfId="1" xr:uid="{00000000-0005-0000-0000-00001A000000}"/>
    <cellStyle name="Percent 2" xfId="24" xr:uid="{00000000-0005-0000-0000-00001B00000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0" i="0" baseline="0">
                <a:effectLst/>
              </a:rPr>
              <a:t>FIG. 1: TCJA Deepens Decline in Corporate Tax Share</a:t>
            </a:r>
          </a:p>
        </c:rich>
      </c:tx>
      <c:layout>
        <c:manualLayout>
          <c:xMode val="edge"/>
          <c:yMode val="edge"/>
          <c:x val="0.13088092369270612"/>
          <c:y val="3.6133694670280034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0"/>
          <c:order val="0"/>
          <c:tx>
            <c:strRef>
              <c:f>'Fig. 1 Corp Tax Rev'!$D$11</c:f>
              <c:strCache>
                <c:ptCount val="1"/>
                <c:pt idx="0">
                  <c:v>Corporate Profits Before Tax ($ billions) (Source: FRED)</c:v>
                </c:pt>
              </c:strCache>
            </c:strRef>
          </c:tx>
          <c:spPr>
            <a:ln w="28575" cap="rnd">
              <a:solidFill>
                <a:schemeClr val="accent1"/>
              </a:solidFill>
              <a:round/>
            </a:ln>
            <a:effectLst/>
          </c:spPr>
          <c:marker>
            <c:symbol val="none"/>
          </c:marker>
          <c:cat>
            <c:numRef>
              <c:f>'Fig. 1 Corp Tax Rev'!$C$12:$C$22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 1 Corp Tax Rev'!$D$12:$D$22</c:f>
              <c:numCache>
                <c:formatCode>0.000</c:formatCode>
                <c:ptCount val="11"/>
                <c:pt idx="0">
                  <c:v>5517.2309999999998</c:v>
                </c:pt>
                <c:pt idx="1">
                  <c:v>5869.9660000000003</c:v>
                </c:pt>
                <c:pt idx="2">
                  <c:v>7336.0550000000003</c:v>
                </c:pt>
                <c:pt idx="3">
                  <c:v>7272.9210000000003</c:v>
                </c:pt>
                <c:pt idx="4">
                  <c:v>8624.4110000000001</c:v>
                </c:pt>
                <c:pt idx="5">
                  <c:v>8606.09</c:v>
                </c:pt>
                <c:pt idx="6">
                  <c:v>8536.7340000000004</c:v>
                </c:pt>
                <c:pt idx="7">
                  <c:v>8536.7340000000004</c:v>
                </c:pt>
                <c:pt idx="8">
                  <c:v>8518.8410000000003</c:v>
                </c:pt>
                <c:pt idx="9">
                  <c:v>8727.491</c:v>
                </c:pt>
                <c:pt idx="10">
                  <c:v>8712.7789999999986</c:v>
                </c:pt>
              </c:numCache>
            </c:numRef>
          </c:val>
          <c:smooth val="0"/>
          <c:extLst>
            <c:ext xmlns:c16="http://schemas.microsoft.com/office/drawing/2014/chart" uri="{C3380CC4-5D6E-409C-BE32-E72D297353CC}">
              <c16:uniqueId val="{00000000-FD57-4B13-8E00-1B079C963754}"/>
            </c:ext>
          </c:extLst>
        </c:ser>
        <c:dLbls>
          <c:showLegendKey val="0"/>
          <c:showVal val="0"/>
          <c:showCatName val="0"/>
          <c:showSerName val="0"/>
          <c:showPercent val="0"/>
          <c:showBubbleSize val="0"/>
        </c:dLbls>
        <c:marker val="1"/>
        <c:smooth val="0"/>
        <c:axId val="205237736"/>
        <c:axId val="205238120"/>
      </c:lineChart>
      <c:lineChart>
        <c:grouping val="standard"/>
        <c:varyColors val="0"/>
        <c:ser>
          <c:idx val="1"/>
          <c:order val="1"/>
          <c:tx>
            <c:strRef>
              <c:f>'Fig. 1 Corp Tax Rev'!$E$11</c:f>
              <c:strCache>
                <c:ptCount val="1"/>
                <c:pt idx="0">
                  <c:v>Corporate Income Tax (% of Total Revenue) (Source: CBO)</c:v>
                </c:pt>
              </c:strCache>
            </c:strRef>
          </c:tx>
          <c:spPr>
            <a:ln w="28575" cap="rnd">
              <a:solidFill>
                <a:schemeClr val="accent2"/>
              </a:solidFill>
              <a:round/>
            </a:ln>
            <a:effectLst/>
          </c:spPr>
          <c:marker>
            <c:symbol val="none"/>
          </c:marker>
          <c:cat>
            <c:numRef>
              <c:f>'Fig. 1 Corp Tax Rev'!$C$12:$C$22</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 1 Corp Tax Rev'!$E$12:$E$22</c:f>
              <c:numCache>
                <c:formatCode>0.0%</c:formatCode>
                <c:ptCount val="11"/>
                <c:pt idx="0">
                  <c:v>0.121</c:v>
                </c:pt>
                <c:pt idx="1">
                  <c:v>6.6000000000000003E-2</c:v>
                </c:pt>
                <c:pt idx="2">
                  <c:v>8.8999999999999996E-2</c:v>
                </c:pt>
                <c:pt idx="3">
                  <c:v>7.9000000000000001E-2</c:v>
                </c:pt>
                <c:pt idx="4">
                  <c:v>9.9000000000000005E-2</c:v>
                </c:pt>
                <c:pt idx="5">
                  <c:v>9.9000000000000005E-2</c:v>
                </c:pt>
                <c:pt idx="6">
                  <c:v>0.106</c:v>
                </c:pt>
                <c:pt idx="7">
                  <c:v>0.106</c:v>
                </c:pt>
                <c:pt idx="8">
                  <c:v>9.1999999999999998E-2</c:v>
                </c:pt>
                <c:pt idx="9">
                  <c:v>0.09</c:v>
                </c:pt>
                <c:pt idx="10">
                  <c:v>6.2E-2</c:v>
                </c:pt>
              </c:numCache>
            </c:numRef>
          </c:val>
          <c:smooth val="0"/>
          <c:extLst>
            <c:ext xmlns:c16="http://schemas.microsoft.com/office/drawing/2014/chart" uri="{C3380CC4-5D6E-409C-BE32-E72D297353CC}">
              <c16:uniqueId val="{00000001-FD57-4B13-8E00-1B079C963754}"/>
            </c:ext>
          </c:extLst>
        </c:ser>
        <c:dLbls>
          <c:showLegendKey val="0"/>
          <c:showVal val="0"/>
          <c:showCatName val="0"/>
          <c:showSerName val="0"/>
          <c:showPercent val="0"/>
          <c:showBubbleSize val="0"/>
        </c:dLbls>
        <c:marker val="1"/>
        <c:smooth val="0"/>
        <c:axId val="205242984"/>
        <c:axId val="205238504"/>
      </c:lineChart>
      <c:catAx>
        <c:axId val="205237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38120"/>
        <c:crosses val="autoZero"/>
        <c:auto val="1"/>
        <c:lblAlgn val="ctr"/>
        <c:lblOffset val="100"/>
        <c:noMultiLvlLbl val="0"/>
      </c:catAx>
      <c:valAx>
        <c:axId val="205238120"/>
        <c:scaling>
          <c:orientation val="minMax"/>
          <c:min val="4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37736"/>
        <c:crosses val="autoZero"/>
        <c:crossBetween val="between"/>
      </c:valAx>
      <c:valAx>
        <c:axId val="205238504"/>
        <c:scaling>
          <c:orientation val="minMax"/>
          <c:min val="4.0000000000000008E-2"/>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42984"/>
        <c:crosses val="max"/>
        <c:crossBetween val="between"/>
      </c:valAx>
      <c:catAx>
        <c:axId val="205242984"/>
        <c:scaling>
          <c:orientation val="minMax"/>
        </c:scaling>
        <c:delete val="1"/>
        <c:axPos val="b"/>
        <c:numFmt formatCode="General" sourceLinked="1"/>
        <c:majorTickMark val="out"/>
        <c:minorTickMark val="none"/>
        <c:tickLblPos val="nextTo"/>
        <c:crossAx val="20523850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J&amp;J: Investor Payouts vs. R&amp;D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'Figs. 13-17'!$A$66</c:f>
              <c:strCache>
                <c:ptCount val="1"/>
                <c:pt idx="0">
                  <c:v> Payouts (DV + BB) </c:v>
                </c:pt>
              </c:strCache>
            </c:strRef>
          </c:tx>
          <c:spPr>
            <a:ln w="28575" cap="rnd">
              <a:solidFill>
                <a:schemeClr val="accent3"/>
              </a:solidFill>
              <a:round/>
            </a:ln>
            <a:effectLst/>
          </c:spPr>
          <c:marker>
            <c:symbol val="none"/>
          </c:marker>
          <c:cat>
            <c:numRef>
              <c:f>'Figs. 13-17'!$B$63:$L$63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'Figs. 13-17'!$B$66:$L$66</c:f>
              <c:numCache>
                <c:formatCode>_-* #,##0_-;\-* #,##0_-;_-* "-"??_-;_-@_-</c:formatCode>
                <c:ptCount val="11"/>
                <c:pt idx="0">
                  <c:v>11675</c:v>
                </c:pt>
                <c:pt idx="1">
                  <c:v>7457</c:v>
                </c:pt>
                <c:pt idx="2">
                  <c:v>8601</c:v>
                </c:pt>
                <c:pt idx="3">
                  <c:v>8681</c:v>
                </c:pt>
                <c:pt idx="4">
                  <c:v>19533</c:v>
                </c:pt>
                <c:pt idx="5">
                  <c:v>10824</c:v>
                </c:pt>
                <c:pt idx="6">
                  <c:v>14892</c:v>
                </c:pt>
                <c:pt idx="7">
                  <c:v>13463</c:v>
                </c:pt>
                <c:pt idx="8">
                  <c:v>17600</c:v>
                </c:pt>
                <c:pt idx="9">
                  <c:v>15301</c:v>
                </c:pt>
                <c:pt idx="10">
                  <c:v>15362</c:v>
                </c:pt>
              </c:numCache>
            </c:numRef>
          </c:val>
          <c:smooth val="0"/>
          <c:extLst>
            <c:ext xmlns:c16="http://schemas.microsoft.com/office/drawing/2014/chart" uri="{C3380CC4-5D6E-409C-BE32-E72D297353CC}">
              <c16:uniqueId val="{00000000-1657-4654-B42F-6A965AD0E6B8}"/>
            </c:ext>
          </c:extLst>
        </c:ser>
        <c:ser>
          <c:idx val="3"/>
          <c:order val="1"/>
          <c:tx>
            <c:strRef>
              <c:f>'Figs. 13-17'!$A$67</c:f>
              <c:strCache>
                <c:ptCount val="1"/>
                <c:pt idx="0">
                  <c:v> R&amp;D </c:v>
                </c:pt>
              </c:strCache>
            </c:strRef>
          </c:tx>
          <c:spPr>
            <a:ln w="28575" cap="rnd">
              <a:solidFill>
                <a:schemeClr val="accent4"/>
              </a:solidFill>
              <a:round/>
            </a:ln>
            <a:effectLst/>
          </c:spPr>
          <c:marker>
            <c:symbol val="none"/>
          </c:marker>
          <c:cat>
            <c:numRef>
              <c:f>'Figs. 13-17'!$B$63:$L$63</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'Figs. 13-17'!$B$67:$L$67</c:f>
              <c:numCache>
                <c:formatCode>_-* #,##0_-;\-* #,##0_-;_-* "-"??_-;_-@_-</c:formatCode>
                <c:ptCount val="11"/>
                <c:pt idx="0">
                  <c:v>7577</c:v>
                </c:pt>
                <c:pt idx="1">
                  <c:v>6986</c:v>
                </c:pt>
                <c:pt idx="2">
                  <c:v>6844</c:v>
                </c:pt>
                <c:pt idx="3">
                  <c:v>7548</c:v>
                </c:pt>
                <c:pt idx="4">
                  <c:v>7665</c:v>
                </c:pt>
                <c:pt idx="5">
                  <c:v>8183</c:v>
                </c:pt>
                <c:pt idx="6">
                  <c:v>8494</c:v>
                </c:pt>
                <c:pt idx="7">
                  <c:v>9046</c:v>
                </c:pt>
                <c:pt idx="8">
                  <c:v>9143</c:v>
                </c:pt>
                <c:pt idx="9">
                  <c:v>10595</c:v>
                </c:pt>
                <c:pt idx="10">
                  <c:v>10775</c:v>
                </c:pt>
              </c:numCache>
            </c:numRef>
          </c:val>
          <c:smooth val="0"/>
          <c:extLst>
            <c:ext xmlns:c16="http://schemas.microsoft.com/office/drawing/2014/chart" uri="{C3380CC4-5D6E-409C-BE32-E72D297353CC}">
              <c16:uniqueId val="{00000001-1657-4654-B42F-6A965AD0E6B8}"/>
            </c:ext>
          </c:extLst>
        </c:ser>
        <c:dLbls>
          <c:showLegendKey val="0"/>
          <c:showVal val="0"/>
          <c:showCatName val="0"/>
          <c:showSerName val="0"/>
          <c:showPercent val="0"/>
          <c:showBubbleSize val="0"/>
        </c:dLbls>
        <c:smooth val="0"/>
        <c:axId val="206488816"/>
        <c:axId val="206489208"/>
      </c:lineChart>
      <c:catAx>
        <c:axId val="206488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89208"/>
        <c:crosses val="autoZero"/>
        <c:auto val="1"/>
        <c:lblAlgn val="ctr"/>
        <c:lblOffset val="100"/>
        <c:noMultiLvlLbl val="0"/>
      </c:catAx>
      <c:valAx>
        <c:axId val="206489208"/>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888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b="0" i="0" baseline="0">
                <a:effectLst/>
              </a:rPr>
              <a:t>Merck: Investor Payouts vs. R&amp;D</a:t>
            </a:r>
            <a:endParaRPr lang="en-US" sz="140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'Figs. 13-17'!$A$74</c:f>
              <c:strCache>
                <c:ptCount val="1"/>
                <c:pt idx="0">
                  <c:v> Payouts (DV + BB) </c:v>
                </c:pt>
              </c:strCache>
            </c:strRef>
          </c:tx>
          <c:spPr>
            <a:ln w="28575" cap="rnd">
              <a:solidFill>
                <a:schemeClr val="accent3"/>
              </a:solidFill>
              <a:round/>
            </a:ln>
            <a:effectLst/>
          </c:spPr>
          <c:marker>
            <c:symbol val="none"/>
          </c:marker>
          <c:cat>
            <c:numRef>
              <c:f>'Figs. 13-17'!$B$71:$L$71</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'Figs. 13-17'!$B$74:$L$74</c:f>
              <c:numCache>
                <c:formatCode>_-* #,##0_-;\-* #,##0_-;_-* "-"??_-;_-@_-</c:formatCode>
                <c:ptCount val="11"/>
                <c:pt idx="0">
                  <c:v>6004</c:v>
                </c:pt>
                <c:pt idx="1">
                  <c:v>3215</c:v>
                </c:pt>
                <c:pt idx="2">
                  <c:v>6327</c:v>
                </c:pt>
                <c:pt idx="3">
                  <c:v>6612</c:v>
                </c:pt>
                <c:pt idx="4">
                  <c:v>8067</c:v>
                </c:pt>
                <c:pt idx="5">
                  <c:v>11673</c:v>
                </c:pt>
                <c:pt idx="6">
                  <c:v>12873</c:v>
                </c:pt>
                <c:pt idx="7">
                  <c:v>9303</c:v>
                </c:pt>
                <c:pt idx="8">
                  <c:v>8558</c:v>
                </c:pt>
                <c:pt idx="9">
                  <c:v>9181</c:v>
                </c:pt>
                <c:pt idx="10">
                  <c:v>14263</c:v>
                </c:pt>
              </c:numCache>
            </c:numRef>
          </c:val>
          <c:smooth val="0"/>
          <c:extLst>
            <c:ext xmlns:c16="http://schemas.microsoft.com/office/drawing/2014/chart" uri="{C3380CC4-5D6E-409C-BE32-E72D297353CC}">
              <c16:uniqueId val="{00000000-A2AB-48B6-8FB3-38FC5DBB63D3}"/>
            </c:ext>
          </c:extLst>
        </c:ser>
        <c:ser>
          <c:idx val="3"/>
          <c:order val="1"/>
          <c:tx>
            <c:strRef>
              <c:f>'Figs. 13-17'!$A$75</c:f>
              <c:strCache>
                <c:ptCount val="1"/>
                <c:pt idx="0">
                  <c:v> R&amp;D </c:v>
                </c:pt>
              </c:strCache>
            </c:strRef>
          </c:tx>
          <c:spPr>
            <a:ln w="28575" cap="rnd">
              <a:solidFill>
                <a:schemeClr val="accent4"/>
              </a:solidFill>
              <a:round/>
            </a:ln>
            <a:effectLst/>
          </c:spPr>
          <c:marker>
            <c:symbol val="none"/>
          </c:marker>
          <c:cat>
            <c:numRef>
              <c:f>'Figs. 13-17'!$B$71:$L$71</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'Figs. 13-17'!$B$75:$L$75</c:f>
              <c:numCache>
                <c:formatCode>_-* #,##0_-;\-* #,##0_-;_-* "-"??_-;_-@_-</c:formatCode>
                <c:ptCount val="11"/>
                <c:pt idx="0">
                  <c:v>4805</c:v>
                </c:pt>
                <c:pt idx="1">
                  <c:v>5139</c:v>
                </c:pt>
                <c:pt idx="2">
                  <c:v>11111</c:v>
                </c:pt>
                <c:pt idx="3">
                  <c:v>8467</c:v>
                </c:pt>
                <c:pt idx="4">
                  <c:v>8168</c:v>
                </c:pt>
                <c:pt idx="5">
                  <c:v>7503</c:v>
                </c:pt>
                <c:pt idx="6">
                  <c:v>7180</c:v>
                </c:pt>
                <c:pt idx="7">
                  <c:v>6704</c:v>
                </c:pt>
                <c:pt idx="8">
                  <c:v>10124</c:v>
                </c:pt>
                <c:pt idx="9">
                  <c:v>10208</c:v>
                </c:pt>
                <c:pt idx="10">
                  <c:v>9752</c:v>
                </c:pt>
              </c:numCache>
            </c:numRef>
          </c:val>
          <c:smooth val="0"/>
          <c:extLst>
            <c:ext xmlns:c16="http://schemas.microsoft.com/office/drawing/2014/chart" uri="{C3380CC4-5D6E-409C-BE32-E72D297353CC}">
              <c16:uniqueId val="{00000001-A2AB-48B6-8FB3-38FC5DBB63D3}"/>
            </c:ext>
          </c:extLst>
        </c:ser>
        <c:dLbls>
          <c:showLegendKey val="0"/>
          <c:showVal val="0"/>
          <c:showCatName val="0"/>
          <c:showSerName val="0"/>
          <c:showPercent val="0"/>
          <c:showBubbleSize val="0"/>
        </c:dLbls>
        <c:smooth val="0"/>
        <c:axId val="206489992"/>
        <c:axId val="206490384"/>
      </c:lineChart>
      <c:catAx>
        <c:axId val="206489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90384"/>
        <c:crosses val="autoZero"/>
        <c:auto val="1"/>
        <c:lblAlgn val="ctr"/>
        <c:lblOffset val="100"/>
        <c:noMultiLvlLbl val="0"/>
      </c:catAx>
      <c:valAx>
        <c:axId val="206490384"/>
        <c:scaling>
          <c:orientation val="minMax"/>
          <c:max val="2500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89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800" b="0" i="0" baseline="0">
                <a:effectLst/>
              </a:rPr>
              <a:t>Pfizer: Investor Payouts vs. R&amp;D</a:t>
            </a:r>
            <a:endParaRPr lang="en-US">
              <a:effectLst/>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lineChart>
        <c:grouping val="standard"/>
        <c:varyColors val="0"/>
        <c:ser>
          <c:idx val="2"/>
          <c:order val="0"/>
          <c:tx>
            <c:strRef>
              <c:f>'Figs. 13-17'!$A$82</c:f>
              <c:strCache>
                <c:ptCount val="1"/>
                <c:pt idx="0">
                  <c:v> Payouts (DV + BB) </c:v>
                </c:pt>
              </c:strCache>
            </c:strRef>
          </c:tx>
          <c:spPr>
            <a:ln w="28575" cap="rnd">
              <a:solidFill>
                <a:schemeClr val="accent3"/>
              </a:solidFill>
              <a:round/>
            </a:ln>
            <a:effectLst/>
          </c:spPr>
          <c:marker>
            <c:symbol val="none"/>
          </c:marker>
          <c:cat>
            <c:numRef>
              <c:f>'Figs. 13-17'!$B$79:$L$79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'Figs. 13-17'!$B$82:$L$82</c:f>
              <c:numCache>
                <c:formatCode>_-* #,##0_-;\-* #,##0_-;_-* "-"??_-;_-@_-</c:formatCode>
                <c:ptCount val="11"/>
                <c:pt idx="0">
                  <c:v>9041</c:v>
                </c:pt>
                <c:pt idx="1">
                  <c:v>5548</c:v>
                </c:pt>
                <c:pt idx="2">
                  <c:v>7088</c:v>
                </c:pt>
                <c:pt idx="3">
                  <c:v>15234</c:v>
                </c:pt>
                <c:pt idx="4">
                  <c:v>14762</c:v>
                </c:pt>
                <c:pt idx="5">
                  <c:v>22870</c:v>
                </c:pt>
                <c:pt idx="6">
                  <c:v>11609</c:v>
                </c:pt>
                <c:pt idx="7">
                  <c:v>13100</c:v>
                </c:pt>
                <c:pt idx="8">
                  <c:v>12317</c:v>
                </c:pt>
                <c:pt idx="9">
                  <c:v>12659</c:v>
                </c:pt>
                <c:pt idx="10">
                  <c:v>20176</c:v>
                </c:pt>
              </c:numCache>
            </c:numRef>
          </c:val>
          <c:smooth val="0"/>
          <c:extLst>
            <c:ext xmlns:c16="http://schemas.microsoft.com/office/drawing/2014/chart" uri="{C3380CC4-5D6E-409C-BE32-E72D297353CC}">
              <c16:uniqueId val="{00000000-8491-41CB-81EC-98435D1AD2B8}"/>
            </c:ext>
          </c:extLst>
        </c:ser>
        <c:ser>
          <c:idx val="3"/>
          <c:order val="1"/>
          <c:tx>
            <c:strRef>
              <c:f>'Figs. 13-17'!$A$83</c:f>
              <c:strCache>
                <c:ptCount val="1"/>
                <c:pt idx="0">
                  <c:v> R&amp;D </c:v>
                </c:pt>
              </c:strCache>
            </c:strRef>
          </c:tx>
          <c:spPr>
            <a:ln w="28575" cap="rnd">
              <a:solidFill>
                <a:schemeClr val="accent4"/>
              </a:solidFill>
              <a:round/>
            </a:ln>
            <a:effectLst/>
          </c:spPr>
          <c:marker>
            <c:symbol val="none"/>
          </c:marker>
          <c:cat>
            <c:numRef>
              <c:f>'Figs. 13-17'!$B$79:$L$79</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'Figs. 13-17'!$B$83:$L$83</c:f>
              <c:numCache>
                <c:formatCode>_-* #,##0_-;\-* #,##0_-;_-* "-"??_-;_-@_-</c:formatCode>
                <c:ptCount val="11"/>
                <c:pt idx="0">
                  <c:v>7945</c:v>
                </c:pt>
                <c:pt idx="1">
                  <c:v>7845</c:v>
                </c:pt>
                <c:pt idx="2">
                  <c:v>9483</c:v>
                </c:pt>
                <c:pt idx="3">
                  <c:v>9074</c:v>
                </c:pt>
                <c:pt idx="4">
                  <c:v>7870</c:v>
                </c:pt>
                <c:pt idx="5">
                  <c:v>6678</c:v>
                </c:pt>
                <c:pt idx="6">
                  <c:v>8393</c:v>
                </c:pt>
                <c:pt idx="7">
                  <c:v>7690</c:v>
                </c:pt>
                <c:pt idx="8">
                  <c:v>7872</c:v>
                </c:pt>
                <c:pt idx="9">
                  <c:v>7657</c:v>
                </c:pt>
                <c:pt idx="10">
                  <c:v>8006</c:v>
                </c:pt>
              </c:numCache>
            </c:numRef>
          </c:val>
          <c:smooth val="0"/>
          <c:extLst>
            <c:ext xmlns:c16="http://schemas.microsoft.com/office/drawing/2014/chart" uri="{C3380CC4-5D6E-409C-BE32-E72D297353CC}">
              <c16:uniqueId val="{00000001-8491-41CB-81EC-98435D1AD2B8}"/>
            </c:ext>
          </c:extLst>
        </c:ser>
        <c:dLbls>
          <c:showLegendKey val="0"/>
          <c:showVal val="0"/>
          <c:showCatName val="0"/>
          <c:showSerName val="0"/>
          <c:showPercent val="0"/>
          <c:showBubbleSize val="0"/>
        </c:dLbls>
        <c:smooth val="0"/>
        <c:axId val="159464616"/>
        <c:axId val="159465008"/>
      </c:lineChart>
      <c:catAx>
        <c:axId val="159464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65008"/>
        <c:crosses val="autoZero"/>
        <c:auto val="1"/>
        <c:lblAlgn val="ctr"/>
        <c:lblOffset val="100"/>
        <c:noMultiLvlLbl val="0"/>
      </c:catAx>
      <c:valAx>
        <c:axId val="159465008"/>
        <c:scaling>
          <c:orientation val="minMax"/>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646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0" i="0" baseline="0">
                <a:effectLst/>
              </a:rPr>
              <a:t>Abbott: Investor Payouts vs. R&amp;D</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2"/>
          <c:order val="0"/>
          <c:tx>
            <c:strRef>
              <c:f>'Figs. 13-17'!$A$90</c:f>
              <c:strCache>
                <c:ptCount val="1"/>
                <c:pt idx="0">
                  <c:v> Payouts (DV + BB) </c:v>
                </c:pt>
              </c:strCache>
            </c:strRef>
          </c:tx>
          <c:spPr>
            <a:ln w="28575" cap="rnd">
              <a:solidFill>
                <a:schemeClr val="accent3"/>
              </a:solidFill>
              <a:round/>
            </a:ln>
            <a:effectLst/>
          </c:spPr>
          <c:marker>
            <c:symbol val="none"/>
          </c:marker>
          <c:cat>
            <c:numRef>
              <c:f>'Figs. 13-17'!$B$87:$L$87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'Figs. 13-17'!$B$90:$L$90</c:f>
              <c:numCache>
                <c:formatCode>_-* #,##0_-;\-* #,##0_-;_-* "-"??_-;_-@_-</c:formatCode>
                <c:ptCount val="11"/>
                <c:pt idx="0">
                  <c:v>3255</c:v>
                </c:pt>
                <c:pt idx="1">
                  <c:v>3240</c:v>
                </c:pt>
                <c:pt idx="2">
                  <c:v>3537</c:v>
                </c:pt>
                <c:pt idx="3">
                  <c:v>3015</c:v>
                </c:pt>
                <c:pt idx="4">
                  <c:v>5546</c:v>
                </c:pt>
                <c:pt idx="5">
                  <c:v>2487</c:v>
                </c:pt>
                <c:pt idx="6">
                  <c:v>3537</c:v>
                </c:pt>
                <c:pt idx="7">
                  <c:v>3680</c:v>
                </c:pt>
                <c:pt idx="8">
                  <c:v>2061</c:v>
                </c:pt>
                <c:pt idx="9">
                  <c:v>1966</c:v>
                </c:pt>
                <c:pt idx="10">
                  <c:v>2212</c:v>
                </c:pt>
              </c:numCache>
            </c:numRef>
          </c:val>
          <c:smooth val="0"/>
          <c:extLst>
            <c:ext xmlns:c16="http://schemas.microsoft.com/office/drawing/2014/chart" uri="{C3380CC4-5D6E-409C-BE32-E72D297353CC}">
              <c16:uniqueId val="{00000000-7842-4AF1-8DA4-BF1B3A6AAEBF}"/>
            </c:ext>
          </c:extLst>
        </c:ser>
        <c:ser>
          <c:idx val="3"/>
          <c:order val="1"/>
          <c:tx>
            <c:strRef>
              <c:f>'Figs. 13-17'!$A$91</c:f>
              <c:strCache>
                <c:ptCount val="1"/>
                <c:pt idx="0">
                  <c:v> R&amp;D </c:v>
                </c:pt>
              </c:strCache>
            </c:strRef>
          </c:tx>
          <c:spPr>
            <a:ln w="28575" cap="rnd">
              <a:solidFill>
                <a:schemeClr val="accent4"/>
              </a:solidFill>
              <a:round/>
            </a:ln>
            <a:effectLst/>
          </c:spPr>
          <c:marker>
            <c:symbol val="none"/>
          </c:marker>
          <c:cat>
            <c:numRef>
              <c:f>'Figs. 13-17'!$B$87:$L$87</c:f>
              <c:numCache>
                <c:formatCode>General</c:formatCode>
                <c:ptCount val="11"/>
                <c:pt idx="0">
                  <c:v>2008</c:v>
                </c:pt>
                <c:pt idx="1">
                  <c:v>2009</c:v>
                </c:pt>
                <c:pt idx="2">
                  <c:v>2010</c:v>
                </c:pt>
                <c:pt idx="3">
                  <c:v>2011</c:v>
                </c:pt>
                <c:pt idx="4">
                  <c:v>2012</c:v>
                </c:pt>
                <c:pt idx="5">
                  <c:v>2013</c:v>
                </c:pt>
                <c:pt idx="6">
                  <c:v>2014</c:v>
                </c:pt>
                <c:pt idx="7">
                  <c:v>2015</c:v>
                </c:pt>
                <c:pt idx="8">
                  <c:v>2016</c:v>
                </c:pt>
                <c:pt idx="9">
                  <c:v>2017</c:v>
                </c:pt>
                <c:pt idx="10">
                  <c:v>2018</c:v>
                </c:pt>
              </c:numCache>
            </c:numRef>
          </c:cat>
          <c:val>
            <c:numRef>
              <c:f>'Figs. 13-17'!$B$91:$L$91</c:f>
              <c:numCache>
                <c:formatCode>_-* #,##0_-;\-* #,##0_-;_-* "-"??_-;_-@_-</c:formatCode>
                <c:ptCount val="11"/>
                <c:pt idx="0">
                  <c:v>2689</c:v>
                </c:pt>
                <c:pt idx="1">
                  <c:v>2744</c:v>
                </c:pt>
                <c:pt idx="2">
                  <c:v>3724</c:v>
                </c:pt>
                <c:pt idx="3">
                  <c:v>4129</c:v>
                </c:pt>
                <c:pt idx="4">
                  <c:v>4322</c:v>
                </c:pt>
                <c:pt idx="5">
                  <c:v>1371</c:v>
                </c:pt>
                <c:pt idx="6">
                  <c:v>1345</c:v>
                </c:pt>
                <c:pt idx="7">
                  <c:v>1405</c:v>
                </c:pt>
                <c:pt idx="8">
                  <c:v>1447</c:v>
                </c:pt>
                <c:pt idx="9">
                  <c:v>2260</c:v>
                </c:pt>
                <c:pt idx="10">
                  <c:v>2300</c:v>
                </c:pt>
              </c:numCache>
            </c:numRef>
          </c:val>
          <c:smooth val="0"/>
          <c:extLst>
            <c:ext xmlns:c16="http://schemas.microsoft.com/office/drawing/2014/chart" uri="{C3380CC4-5D6E-409C-BE32-E72D297353CC}">
              <c16:uniqueId val="{00000001-7842-4AF1-8DA4-BF1B3A6AAEBF}"/>
            </c:ext>
          </c:extLst>
        </c:ser>
        <c:dLbls>
          <c:showLegendKey val="0"/>
          <c:showVal val="0"/>
          <c:showCatName val="0"/>
          <c:showSerName val="0"/>
          <c:showPercent val="0"/>
          <c:showBubbleSize val="0"/>
        </c:dLbls>
        <c:smooth val="0"/>
        <c:axId val="159465792"/>
        <c:axId val="159466184"/>
      </c:lineChart>
      <c:catAx>
        <c:axId val="159465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66184"/>
        <c:crosses val="autoZero"/>
        <c:auto val="1"/>
        <c:lblAlgn val="ctr"/>
        <c:lblOffset val="100"/>
        <c:noMultiLvlLbl val="0"/>
      </c:catAx>
      <c:valAx>
        <c:axId val="159466184"/>
        <c:scaling>
          <c:orientation val="minMax"/>
          <c:max val="25000"/>
        </c:scaling>
        <c:delete val="0"/>
        <c:axPos val="l"/>
        <c:majorGridlines>
          <c:spPr>
            <a:ln w="9525" cap="flat" cmpd="sng" algn="ctr">
              <a:solidFill>
                <a:schemeClr val="tx1">
                  <a:lumMod val="15000"/>
                  <a:lumOff val="85000"/>
                </a:schemeClr>
              </a:solidFill>
              <a:round/>
            </a:ln>
            <a:effectLst/>
          </c:spPr>
        </c:majorGridlines>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94657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'Figs. 2-5 Global ETR'!$B$15</c:f>
              <c:strCache>
                <c:ptCount val="1"/>
                <c:pt idx="0">
                  <c:v>J&amp;J Global ETR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'Figs. 2-5 Global ETR'!$C$14:$E$14</c:f>
              <c:strCache>
                <c:ptCount val="3"/>
                <c:pt idx="0">
                  <c:v>5-Year Average (2013-2017)</c:v>
                </c:pt>
                <c:pt idx="1">
                  <c:v>2017</c:v>
                </c:pt>
                <c:pt idx="2">
                  <c:v>2018</c:v>
                </c:pt>
              </c:strCache>
            </c:strRef>
          </c:cat>
          <c:val>
            <c:numRef>
              <c:f>'Figs. 2-5 Global ETR'!$C$15:$E$15</c:f>
              <c:numCache>
                <c:formatCode>0.0%</c:formatCode>
                <c:ptCount val="3"/>
                <c:pt idx="0">
                  <c:v>0.17302203660477739</c:v>
                </c:pt>
                <c:pt idx="1">
                  <c:v>0.19085610818763085</c:v>
                </c:pt>
                <c:pt idx="2">
                  <c:v>0.16678704372465136</c:v>
                </c:pt>
              </c:numCache>
            </c:numRef>
          </c:val>
          <c:extLst>
            <c:ext xmlns:c16="http://schemas.microsoft.com/office/drawing/2014/chart" uri="{C3380CC4-5D6E-409C-BE32-E72D297353CC}">
              <c16:uniqueId val="{00000000-17B8-4783-B993-C4B4A567332E}"/>
            </c:ext>
          </c:extLst>
        </c:ser>
        <c:dLbls>
          <c:showLegendKey val="0"/>
          <c:showVal val="0"/>
          <c:showCatName val="0"/>
          <c:showSerName val="0"/>
          <c:showPercent val="0"/>
          <c:showBubbleSize val="0"/>
        </c:dLbls>
        <c:gapWidth val="219"/>
        <c:overlap val="-27"/>
        <c:axId val="204946144"/>
        <c:axId val="205426200"/>
      </c:barChart>
      <c:catAx>
        <c:axId val="204946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426200"/>
        <c:crosses val="autoZero"/>
        <c:auto val="1"/>
        <c:lblAlgn val="ctr"/>
        <c:lblOffset val="100"/>
        <c:noMultiLvlLbl val="0"/>
      </c:catAx>
      <c:valAx>
        <c:axId val="205426200"/>
        <c:scaling>
          <c:orientation val="minMax"/>
          <c:max val="0.30000000000000004"/>
          <c:min val="0"/>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4946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'Figs. 2-5 Global ETR'!$B$32</c:f>
              <c:strCache>
                <c:ptCount val="1"/>
                <c:pt idx="0">
                  <c:v>Merck Global ETR</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'Figs. 2-5 Global ETR'!$C$31:$E$31</c:f>
              <c:strCache>
                <c:ptCount val="3"/>
                <c:pt idx="0">
                  <c:v>5-Year Average (2013-2017)</c:v>
                </c:pt>
                <c:pt idx="1">
                  <c:v>2017</c:v>
                </c:pt>
                <c:pt idx="2">
                  <c:v>2018</c:v>
                </c:pt>
              </c:strCache>
            </c:strRef>
          </c:cat>
          <c:val>
            <c:numRef>
              <c:f>'Figs. 2-5 Global ETR'!$C$32:$E$32</c:f>
              <c:numCache>
                <c:formatCode>0.0%</c:formatCode>
                <c:ptCount val="3"/>
                <c:pt idx="0">
                  <c:v>0.21001238971269318</c:v>
                </c:pt>
                <c:pt idx="1">
                  <c:v>0.22665235393344579</c:v>
                </c:pt>
                <c:pt idx="2">
                  <c:v>0.25502815768302495</c:v>
                </c:pt>
              </c:numCache>
            </c:numRef>
          </c:val>
          <c:extLst>
            <c:ext xmlns:c16="http://schemas.microsoft.com/office/drawing/2014/chart" uri="{C3380CC4-5D6E-409C-BE32-E72D297353CC}">
              <c16:uniqueId val="{00000000-F3C2-438F-9A3A-2D9D21671A02}"/>
            </c:ext>
          </c:extLst>
        </c:ser>
        <c:dLbls>
          <c:showLegendKey val="0"/>
          <c:showVal val="0"/>
          <c:showCatName val="0"/>
          <c:showSerName val="0"/>
          <c:showPercent val="0"/>
          <c:showBubbleSize val="0"/>
        </c:dLbls>
        <c:gapWidth val="219"/>
        <c:overlap val="-27"/>
        <c:axId val="205582184"/>
        <c:axId val="205602104"/>
      </c:barChart>
      <c:catAx>
        <c:axId val="205582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602104"/>
        <c:crosses val="autoZero"/>
        <c:auto val="1"/>
        <c:lblAlgn val="ctr"/>
        <c:lblOffset val="100"/>
        <c:noMultiLvlLbl val="0"/>
      </c:catAx>
      <c:valAx>
        <c:axId val="205602104"/>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582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'Figs. 2-5 Global ETR'!$B$51</c:f>
              <c:strCache>
                <c:ptCount val="1"/>
                <c:pt idx="0">
                  <c:v>Pfizer Global ETR</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'Figs. 2-5 Global ETR'!$C$50:$E$50</c:f>
              <c:strCache>
                <c:ptCount val="3"/>
                <c:pt idx="0">
                  <c:v>5-Year Average (2013-2017)</c:v>
                </c:pt>
                <c:pt idx="1">
                  <c:v>2017</c:v>
                </c:pt>
                <c:pt idx="2">
                  <c:v>2018</c:v>
                </c:pt>
              </c:strCache>
            </c:strRef>
          </c:cat>
          <c:val>
            <c:numRef>
              <c:f>'Figs. 2-5 Global ETR'!$C$51:$E$51</c:f>
              <c:numCache>
                <c:formatCode>0.0%</c:formatCode>
                <c:ptCount val="3"/>
                <c:pt idx="0">
                  <c:v>0.20325733259372</c:v>
                </c:pt>
                <c:pt idx="1">
                  <c:v>0.1309223892726534</c:v>
                </c:pt>
                <c:pt idx="2">
                  <c:v>0.10954985275557426</c:v>
                </c:pt>
              </c:numCache>
            </c:numRef>
          </c:val>
          <c:extLst>
            <c:ext xmlns:c16="http://schemas.microsoft.com/office/drawing/2014/chart" uri="{C3380CC4-5D6E-409C-BE32-E72D297353CC}">
              <c16:uniqueId val="{00000000-8E6B-46D8-9D52-731BD430DF20}"/>
            </c:ext>
          </c:extLst>
        </c:ser>
        <c:dLbls>
          <c:showLegendKey val="0"/>
          <c:showVal val="0"/>
          <c:showCatName val="0"/>
          <c:showSerName val="0"/>
          <c:showPercent val="0"/>
          <c:showBubbleSize val="0"/>
        </c:dLbls>
        <c:gapWidth val="219"/>
        <c:overlap val="-27"/>
        <c:axId val="203424008"/>
        <c:axId val="203424400"/>
      </c:barChart>
      <c:catAx>
        <c:axId val="203424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424400"/>
        <c:crosses val="autoZero"/>
        <c:auto val="1"/>
        <c:lblAlgn val="ctr"/>
        <c:lblOffset val="100"/>
        <c:noMultiLvlLbl val="0"/>
      </c:catAx>
      <c:valAx>
        <c:axId val="203424400"/>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3424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'Figs. 2-5 Global ETR'!$B$71</c:f>
              <c:strCache>
                <c:ptCount val="1"/>
                <c:pt idx="0">
                  <c:v>Abbott Global ETR</c:v>
                </c:pt>
              </c:strCache>
            </c:strRef>
          </c:tx>
          <c:spPr>
            <a:solidFill>
              <a:schemeClr val="accent6">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'Figs. 2-5 Global ETR'!$C$70:$E$70</c:f>
              <c:strCache>
                <c:ptCount val="3"/>
                <c:pt idx="0">
                  <c:v>5-Year Average (2013-2017)</c:v>
                </c:pt>
                <c:pt idx="1">
                  <c:v>2017</c:v>
                </c:pt>
                <c:pt idx="2">
                  <c:v>2018</c:v>
                </c:pt>
              </c:strCache>
            </c:strRef>
          </c:cat>
          <c:val>
            <c:numRef>
              <c:f>'Figs. 2-5 Global ETR'!$C$71:$E$71</c:f>
              <c:numCache>
                <c:formatCode>0.0%</c:formatCode>
                <c:ptCount val="3"/>
                <c:pt idx="0">
                  <c:v>0.19176481902129516</c:v>
                </c:pt>
                <c:pt idx="1">
                  <c:v>0.18735992828328105</c:v>
                </c:pt>
                <c:pt idx="2">
                  <c:v>0.142359902540898</c:v>
                </c:pt>
              </c:numCache>
            </c:numRef>
          </c:val>
          <c:extLst>
            <c:ext xmlns:c16="http://schemas.microsoft.com/office/drawing/2014/chart" uri="{C3380CC4-5D6E-409C-BE32-E72D297353CC}">
              <c16:uniqueId val="{00000000-2006-4FEC-BC00-0F383155D27D}"/>
            </c:ext>
          </c:extLst>
        </c:ser>
        <c:dLbls>
          <c:showLegendKey val="0"/>
          <c:showVal val="0"/>
          <c:showCatName val="0"/>
          <c:showSerName val="0"/>
          <c:showPercent val="0"/>
          <c:showBubbleSize val="0"/>
        </c:dLbls>
        <c:gapWidth val="219"/>
        <c:overlap val="-27"/>
        <c:axId val="206150528"/>
        <c:axId val="206150920"/>
      </c:barChart>
      <c:catAx>
        <c:axId val="20615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50920"/>
        <c:crosses val="autoZero"/>
        <c:auto val="1"/>
        <c:lblAlgn val="ctr"/>
        <c:lblOffset val="100"/>
        <c:noMultiLvlLbl val="0"/>
      </c:catAx>
      <c:valAx>
        <c:axId val="206150920"/>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50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J&amp;J Profit Margin 2015-2018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 8-11 Profit Margins'!$B$13</c:f>
              <c:strCache>
                <c:ptCount val="1"/>
                <c:pt idx="0">
                  <c:v>US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8-11 Profit Margins'!$C$12:$F$12</c:f>
              <c:numCache>
                <c:formatCode>General</c:formatCode>
                <c:ptCount val="4"/>
                <c:pt idx="0">
                  <c:v>2015</c:v>
                </c:pt>
                <c:pt idx="1">
                  <c:v>2016</c:v>
                </c:pt>
                <c:pt idx="2">
                  <c:v>2017</c:v>
                </c:pt>
                <c:pt idx="3">
                  <c:v>2018</c:v>
                </c:pt>
              </c:numCache>
            </c:numRef>
          </c:cat>
          <c:val>
            <c:numRef>
              <c:f>'Fig. 8-11 Profit Margins'!$C$13:$F$13</c:f>
              <c:numCache>
                <c:formatCode>0%</c:formatCode>
                <c:ptCount val="4"/>
                <c:pt idx="0">
                  <c:v>0.2291870989435929</c:v>
                </c:pt>
                <c:pt idx="1">
                  <c:v>0.19721774086905927</c:v>
                </c:pt>
                <c:pt idx="2">
                  <c:v>0.12204299726563481</c:v>
                </c:pt>
                <c:pt idx="3">
                  <c:v>0.13310572056155096</c:v>
                </c:pt>
              </c:numCache>
            </c:numRef>
          </c:val>
          <c:smooth val="0"/>
          <c:extLst>
            <c:ext xmlns:c16="http://schemas.microsoft.com/office/drawing/2014/chart" uri="{C3380CC4-5D6E-409C-BE32-E72D297353CC}">
              <c16:uniqueId val="{00000000-8F27-4DDE-A523-61ADA4AB071A}"/>
            </c:ext>
          </c:extLst>
        </c:ser>
        <c:ser>
          <c:idx val="1"/>
          <c:order val="1"/>
          <c:tx>
            <c:strRef>
              <c:f>'Fig. 8-11 Profit Margins'!$B$14</c:f>
              <c:strCache>
                <c:ptCount val="1"/>
                <c:pt idx="0">
                  <c:v>International</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8-11 Profit Margins'!$C$12:$F$12</c:f>
              <c:numCache>
                <c:formatCode>General</c:formatCode>
                <c:ptCount val="4"/>
                <c:pt idx="0">
                  <c:v>2015</c:v>
                </c:pt>
                <c:pt idx="1">
                  <c:v>2016</c:v>
                </c:pt>
                <c:pt idx="2">
                  <c:v>2017</c:v>
                </c:pt>
                <c:pt idx="3">
                  <c:v>2018</c:v>
                </c:pt>
              </c:numCache>
            </c:numRef>
          </c:cat>
          <c:val>
            <c:numRef>
              <c:f>'Fig. 8-11 Profit Margins'!$C$14:$F$14</c:f>
              <c:numCache>
                <c:formatCode>0%</c:formatCode>
                <c:ptCount val="4"/>
                <c:pt idx="0">
                  <c:v>0.32038270276558001</c:v>
                </c:pt>
                <c:pt idx="1">
                  <c:v>0.36227588837700636</c:v>
                </c:pt>
                <c:pt idx="2">
                  <c:v>0.35006969688687239</c:v>
                </c:pt>
                <c:pt idx="3">
                  <c:v>0.31297075345744013</c:v>
                </c:pt>
              </c:numCache>
            </c:numRef>
          </c:val>
          <c:smooth val="0"/>
          <c:extLst>
            <c:ext xmlns:c16="http://schemas.microsoft.com/office/drawing/2014/chart" uri="{C3380CC4-5D6E-409C-BE32-E72D297353CC}">
              <c16:uniqueId val="{00000001-8F27-4DDE-A523-61ADA4AB071A}"/>
            </c:ext>
          </c:extLst>
        </c:ser>
        <c:dLbls>
          <c:showLegendKey val="0"/>
          <c:showVal val="0"/>
          <c:showCatName val="0"/>
          <c:showSerName val="0"/>
          <c:showPercent val="0"/>
          <c:showBubbleSize val="0"/>
        </c:dLbls>
        <c:smooth val="0"/>
        <c:axId val="206152096"/>
        <c:axId val="206152488"/>
      </c:lineChart>
      <c:catAx>
        <c:axId val="20615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52488"/>
        <c:crosses val="autoZero"/>
        <c:auto val="1"/>
        <c:lblAlgn val="ctr"/>
        <c:lblOffset val="100"/>
        <c:noMultiLvlLbl val="0"/>
      </c:catAx>
      <c:valAx>
        <c:axId val="206152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520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Merck Profit Margin 2015-2018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 8-11 Profit Margins'!$B$41</c:f>
              <c:strCache>
                <c:ptCount val="1"/>
                <c:pt idx="0">
                  <c:v>US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8-11 Profit Margins'!$C$40:$F$40</c:f>
              <c:numCache>
                <c:formatCode>General</c:formatCode>
                <c:ptCount val="4"/>
                <c:pt idx="0">
                  <c:v>2015</c:v>
                </c:pt>
                <c:pt idx="1">
                  <c:v>2016</c:v>
                </c:pt>
                <c:pt idx="2">
                  <c:v>2017</c:v>
                </c:pt>
                <c:pt idx="3">
                  <c:v>2018</c:v>
                </c:pt>
              </c:numCache>
            </c:numRef>
          </c:cat>
          <c:val>
            <c:numRef>
              <c:f>'Fig. 8-11 Profit Margins'!$C$41:$F$41</c:f>
              <c:numCache>
                <c:formatCode>0%</c:formatCode>
                <c:ptCount val="4"/>
                <c:pt idx="0">
                  <c:v>0.12826074547633998</c:v>
                </c:pt>
                <c:pt idx="1">
                  <c:v>2.8033336941227404E-2</c:v>
                </c:pt>
                <c:pt idx="2">
                  <c:v>0.19989669421487602</c:v>
                </c:pt>
                <c:pt idx="3">
                  <c:v>0.20409620030748957</c:v>
                </c:pt>
              </c:numCache>
            </c:numRef>
          </c:val>
          <c:smooth val="0"/>
          <c:extLst>
            <c:ext xmlns:c16="http://schemas.microsoft.com/office/drawing/2014/chart" uri="{C3380CC4-5D6E-409C-BE32-E72D297353CC}">
              <c16:uniqueId val="{00000000-E98A-4EFA-AF63-EE2FBE92C13F}"/>
            </c:ext>
          </c:extLst>
        </c:ser>
        <c:ser>
          <c:idx val="1"/>
          <c:order val="1"/>
          <c:tx>
            <c:strRef>
              <c:f>'Fig. 8-11 Profit Margins'!$B$42</c:f>
              <c:strCache>
                <c:ptCount val="1"/>
                <c:pt idx="0">
                  <c:v>International</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8-11 Profit Margins'!$C$40:$F$40</c:f>
              <c:numCache>
                <c:formatCode>General</c:formatCode>
                <c:ptCount val="4"/>
                <c:pt idx="0">
                  <c:v>2015</c:v>
                </c:pt>
                <c:pt idx="1">
                  <c:v>2016</c:v>
                </c:pt>
                <c:pt idx="2">
                  <c:v>2017</c:v>
                </c:pt>
                <c:pt idx="3">
                  <c:v>2018</c:v>
                </c:pt>
              </c:numCache>
            </c:numRef>
          </c:cat>
          <c:val>
            <c:numRef>
              <c:f>'Fig. 8-11 Profit Margins'!$C$42:$F$42</c:f>
              <c:numCache>
                <c:formatCode>0%</c:formatCode>
                <c:ptCount val="4"/>
                <c:pt idx="0">
                  <c:v>0.14350061422266708</c:v>
                </c:pt>
                <c:pt idx="1">
                  <c:v>0.19414881147733135</c:v>
                </c:pt>
                <c:pt idx="2">
                  <c:v>0.13384439157635034</c:v>
                </c:pt>
                <c:pt idx="3">
                  <c:v>0.206959554854248</c:v>
                </c:pt>
              </c:numCache>
            </c:numRef>
          </c:val>
          <c:smooth val="0"/>
          <c:extLst>
            <c:ext xmlns:c16="http://schemas.microsoft.com/office/drawing/2014/chart" uri="{C3380CC4-5D6E-409C-BE32-E72D297353CC}">
              <c16:uniqueId val="{00000001-E98A-4EFA-AF63-EE2FBE92C13F}"/>
            </c:ext>
          </c:extLst>
        </c:ser>
        <c:dLbls>
          <c:showLegendKey val="0"/>
          <c:showVal val="0"/>
          <c:showCatName val="0"/>
          <c:showSerName val="0"/>
          <c:showPercent val="0"/>
          <c:showBubbleSize val="0"/>
        </c:dLbls>
        <c:smooth val="0"/>
        <c:axId val="206150136"/>
        <c:axId val="206149744"/>
      </c:lineChart>
      <c:catAx>
        <c:axId val="206150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49744"/>
        <c:crosses val="autoZero"/>
        <c:auto val="1"/>
        <c:lblAlgn val="ctr"/>
        <c:lblOffset val="100"/>
        <c:noMultiLvlLbl val="0"/>
      </c:catAx>
      <c:valAx>
        <c:axId val="2061497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50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Pfizer Profit Margin 2015-2018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 8-11 Profit Margins'!$B$68</c:f>
              <c:strCache>
                <c:ptCount val="1"/>
                <c:pt idx="0">
                  <c:v>US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8-11 Profit Margins'!$C$67:$F$67</c:f>
              <c:numCache>
                <c:formatCode>General</c:formatCode>
                <c:ptCount val="4"/>
                <c:pt idx="0">
                  <c:v>2015</c:v>
                </c:pt>
                <c:pt idx="1">
                  <c:v>2016</c:v>
                </c:pt>
                <c:pt idx="2">
                  <c:v>2017</c:v>
                </c:pt>
                <c:pt idx="3">
                  <c:v>2018</c:v>
                </c:pt>
              </c:numCache>
            </c:numRef>
          </c:cat>
          <c:val>
            <c:numRef>
              <c:f>'Fig. 8-11 Profit Margins'!$C$68:$F$68</c:f>
              <c:numCache>
                <c:formatCode>0%</c:formatCode>
                <c:ptCount val="4"/>
                <c:pt idx="0">
                  <c:v>-0.31372097309251751</c:v>
                </c:pt>
                <c:pt idx="1">
                  <c:v>-0.32363760476316888</c:v>
                </c:pt>
                <c:pt idx="2">
                  <c:v>-0.2643126104664566</c:v>
                </c:pt>
                <c:pt idx="3">
                  <c:v>-0.17383236606261598</c:v>
                </c:pt>
              </c:numCache>
            </c:numRef>
          </c:val>
          <c:smooth val="0"/>
          <c:extLst>
            <c:ext xmlns:c16="http://schemas.microsoft.com/office/drawing/2014/chart" uri="{C3380CC4-5D6E-409C-BE32-E72D297353CC}">
              <c16:uniqueId val="{00000000-4083-42E2-B5D2-41682BE345AD}"/>
            </c:ext>
          </c:extLst>
        </c:ser>
        <c:ser>
          <c:idx val="1"/>
          <c:order val="1"/>
          <c:tx>
            <c:strRef>
              <c:f>'Fig. 8-11 Profit Margins'!$B$69</c:f>
              <c:strCache>
                <c:ptCount val="1"/>
                <c:pt idx="0">
                  <c:v>International</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8-11 Profit Margins'!$C$67:$F$67</c:f>
              <c:numCache>
                <c:formatCode>General</c:formatCode>
                <c:ptCount val="4"/>
                <c:pt idx="0">
                  <c:v>2015</c:v>
                </c:pt>
                <c:pt idx="1">
                  <c:v>2016</c:v>
                </c:pt>
                <c:pt idx="2">
                  <c:v>2017</c:v>
                </c:pt>
                <c:pt idx="3">
                  <c:v>2018</c:v>
                </c:pt>
              </c:numCache>
            </c:numRef>
          </c:cat>
          <c:val>
            <c:numRef>
              <c:f>'Fig. 8-11 Profit Margins'!$C$69:$F$69</c:f>
              <c:numCache>
                <c:formatCode>0%</c:formatCode>
                <c:ptCount val="4"/>
                <c:pt idx="0">
                  <c:v>0.58102184403433155</c:v>
                </c:pt>
                <c:pt idx="1">
                  <c:v>0.63829143829143831</c:v>
                </c:pt>
                <c:pt idx="2">
                  <c:v>0.7233785822021116</c:v>
                </c:pt>
                <c:pt idx="3">
                  <c:v>0.57518186312592701</c:v>
                </c:pt>
              </c:numCache>
            </c:numRef>
          </c:val>
          <c:smooth val="0"/>
          <c:extLst>
            <c:ext xmlns:c16="http://schemas.microsoft.com/office/drawing/2014/chart" uri="{C3380CC4-5D6E-409C-BE32-E72D297353CC}">
              <c16:uniqueId val="{00000001-4083-42E2-B5D2-41682BE345AD}"/>
            </c:ext>
          </c:extLst>
        </c:ser>
        <c:dLbls>
          <c:showLegendKey val="0"/>
          <c:showVal val="0"/>
          <c:showCatName val="0"/>
          <c:showSerName val="0"/>
          <c:showPercent val="0"/>
          <c:showBubbleSize val="0"/>
        </c:dLbls>
        <c:smooth val="0"/>
        <c:axId val="206148960"/>
        <c:axId val="206487248"/>
      </c:lineChart>
      <c:catAx>
        <c:axId val="20614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87248"/>
        <c:crosses val="autoZero"/>
        <c:auto val="1"/>
        <c:lblAlgn val="ctr"/>
        <c:lblOffset val="100"/>
        <c:noMultiLvlLbl val="0"/>
      </c:catAx>
      <c:valAx>
        <c:axId val="206487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48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Abbott Profit</a:t>
            </a:r>
            <a:r>
              <a:rPr lang="en-AU" baseline="0"/>
              <a:t> Margin 2015-2018</a:t>
            </a:r>
            <a:endParaRPr lang="en-AU"/>
          </a:p>
        </c:rich>
      </c:tx>
      <c:layout>
        <c:manualLayout>
          <c:xMode val="edge"/>
          <c:yMode val="edge"/>
          <c:x val="0.25631043412211402"/>
          <c:y val="4.063937345452400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'Fig. 8-11 Profit Margins'!$B$95</c:f>
              <c:strCache>
                <c:ptCount val="1"/>
                <c:pt idx="0">
                  <c:v>US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8-11 Profit Margins'!$C$94:$F$94</c:f>
              <c:numCache>
                <c:formatCode>General</c:formatCode>
                <c:ptCount val="4"/>
                <c:pt idx="0">
                  <c:v>2015</c:v>
                </c:pt>
                <c:pt idx="1">
                  <c:v>2016</c:v>
                </c:pt>
                <c:pt idx="2">
                  <c:v>2017</c:v>
                </c:pt>
                <c:pt idx="3">
                  <c:v>2018</c:v>
                </c:pt>
              </c:numCache>
            </c:numRef>
          </c:cat>
          <c:val>
            <c:numRef>
              <c:f>'Fig. 8-11 Profit Margins'!$C$95:$F$95</c:f>
              <c:numCache>
                <c:formatCode>0%</c:formatCode>
                <c:ptCount val="4"/>
                <c:pt idx="0">
                  <c:v>0.12583732057416269</c:v>
                </c:pt>
                <c:pt idx="1">
                  <c:v>4.7178538390379277E-2</c:v>
                </c:pt>
                <c:pt idx="2">
                  <c:v>3.1841207484751367E-2</c:v>
                </c:pt>
                <c:pt idx="3">
                  <c:v>-3.9671556416643605E-2</c:v>
                </c:pt>
              </c:numCache>
            </c:numRef>
          </c:val>
          <c:smooth val="0"/>
          <c:extLst>
            <c:ext xmlns:c16="http://schemas.microsoft.com/office/drawing/2014/chart" uri="{C3380CC4-5D6E-409C-BE32-E72D297353CC}">
              <c16:uniqueId val="{00000000-390A-4489-BF18-F02253039996}"/>
            </c:ext>
          </c:extLst>
        </c:ser>
        <c:ser>
          <c:idx val="1"/>
          <c:order val="1"/>
          <c:tx>
            <c:strRef>
              <c:f>'Fig. 8-11 Profit Margins'!$B$96</c:f>
              <c:strCache>
                <c:ptCount val="1"/>
                <c:pt idx="0">
                  <c:v>International</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 8-11 Profit Margins'!$C$94:$F$94</c:f>
              <c:numCache>
                <c:formatCode>General</c:formatCode>
                <c:ptCount val="4"/>
                <c:pt idx="0">
                  <c:v>2015</c:v>
                </c:pt>
                <c:pt idx="1">
                  <c:v>2016</c:v>
                </c:pt>
                <c:pt idx="2">
                  <c:v>2017</c:v>
                </c:pt>
                <c:pt idx="3">
                  <c:v>2018</c:v>
                </c:pt>
              </c:numCache>
            </c:numRef>
          </c:cat>
          <c:val>
            <c:numRef>
              <c:f>'Fig. 8-11 Profit Margins'!$C$96:$F$96</c:f>
              <c:numCache>
                <c:formatCode>0%</c:formatCode>
                <c:ptCount val="4"/>
                <c:pt idx="0">
                  <c:v>0.16936681995047753</c:v>
                </c:pt>
                <c:pt idx="1">
                  <c:v>7.7051576529546875E-2</c:v>
                </c:pt>
                <c:pt idx="2">
                  <c:v>0.10853982051137326</c:v>
                </c:pt>
                <c:pt idx="3">
                  <c:v>0.16733370484826993</c:v>
                </c:pt>
              </c:numCache>
            </c:numRef>
          </c:val>
          <c:smooth val="0"/>
          <c:extLst>
            <c:ext xmlns:c16="http://schemas.microsoft.com/office/drawing/2014/chart" uri="{C3380CC4-5D6E-409C-BE32-E72D297353CC}">
              <c16:uniqueId val="{00000001-390A-4489-BF18-F02253039996}"/>
            </c:ext>
          </c:extLst>
        </c:ser>
        <c:dLbls>
          <c:showLegendKey val="0"/>
          <c:showVal val="0"/>
          <c:showCatName val="0"/>
          <c:showSerName val="0"/>
          <c:showPercent val="0"/>
          <c:showBubbleSize val="0"/>
        </c:dLbls>
        <c:smooth val="0"/>
        <c:axId val="206151704"/>
        <c:axId val="206488032"/>
      </c:lineChart>
      <c:catAx>
        <c:axId val="206151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488032"/>
        <c:crosses val="autoZero"/>
        <c:auto val="1"/>
        <c:lblAlgn val="ctr"/>
        <c:lblOffset val="100"/>
        <c:noMultiLvlLbl val="0"/>
      </c:catAx>
      <c:valAx>
        <c:axId val="206488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151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0</xdr:rowOff>
    </xdr:from>
    <xdr:to>
      <xdr:col>4</xdr:col>
      <xdr:colOff>752475</xdr:colOff>
      <xdr:row>21</xdr:row>
      <xdr:rowOff>66675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xdr:colOff>
      <xdr:row>1</xdr:row>
      <xdr:rowOff>200025</xdr:rowOff>
    </xdr:from>
    <xdr:to>
      <xdr:col>15</xdr:col>
      <xdr:colOff>114300</xdr:colOff>
      <xdr:row>13</xdr:row>
      <xdr:rowOff>200025</xdr:rowOff>
    </xdr:to>
    <xdr:graphicFrame macro="">
      <xdr:nvGraphicFramePr>
        <xdr:cNvPr id="2" name="Chart 1">
          <a:extLst>
            <a:ext uri="{FF2B5EF4-FFF2-40B4-BE49-F238E27FC236}">
              <a16:creationId xmlns:a16="http://schemas.microsoft.com/office/drawing/2014/main" id="{6F0CD2F4-787A-4A57-B960-E04A51DA8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85725</xdr:colOff>
      <xdr:row>18</xdr:row>
      <xdr:rowOff>190500</xdr:rowOff>
    </xdr:from>
    <xdr:to>
      <xdr:col>15</xdr:col>
      <xdr:colOff>152400</xdr:colOff>
      <xdr:row>32</xdr:row>
      <xdr:rowOff>47625</xdr:rowOff>
    </xdr:to>
    <xdr:graphicFrame macro="">
      <xdr:nvGraphicFramePr>
        <xdr:cNvPr id="3" name="Chart 2">
          <a:extLst>
            <a:ext uri="{FF2B5EF4-FFF2-40B4-BE49-F238E27FC236}">
              <a16:creationId xmlns:a16="http://schemas.microsoft.com/office/drawing/2014/main" id="{7CA0A18D-AB91-402B-9CE1-4B8E26B41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228600</xdr:colOff>
      <xdr:row>37</xdr:row>
      <xdr:rowOff>104775</xdr:rowOff>
    </xdr:from>
    <xdr:to>
      <xdr:col>15</xdr:col>
      <xdr:colOff>295275</xdr:colOff>
      <xdr:row>50</xdr:row>
      <xdr:rowOff>152400</xdr:rowOff>
    </xdr:to>
    <xdr:graphicFrame macro="">
      <xdr:nvGraphicFramePr>
        <xdr:cNvPr id="4" name="Chart 3">
          <a:extLst>
            <a:ext uri="{FF2B5EF4-FFF2-40B4-BE49-F238E27FC236}">
              <a16:creationId xmlns:a16="http://schemas.microsoft.com/office/drawing/2014/main" id="{E7A4414C-A966-4362-B33B-80306C9D6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180975</xdr:colOff>
      <xdr:row>56</xdr:row>
      <xdr:rowOff>95250</xdr:rowOff>
    </xdr:from>
    <xdr:to>
      <xdr:col>15</xdr:col>
      <xdr:colOff>247650</xdr:colOff>
      <xdr:row>69</xdr:row>
      <xdr:rowOff>285750</xdr:rowOff>
    </xdr:to>
    <xdr:graphicFrame macro="">
      <xdr:nvGraphicFramePr>
        <xdr:cNvPr id="5" name="Chart 4">
          <a:extLst>
            <a:ext uri="{FF2B5EF4-FFF2-40B4-BE49-F238E27FC236}">
              <a16:creationId xmlns:a16="http://schemas.microsoft.com/office/drawing/2014/main" id="{A0AFC5F5-255A-4A47-9622-5B57AD4C22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561974</xdr:colOff>
      <xdr:row>9</xdr:row>
      <xdr:rowOff>19049</xdr:rowOff>
    </xdr:from>
    <xdr:to>
      <xdr:col>12</xdr:col>
      <xdr:colOff>571499</xdr:colOff>
      <xdr:row>25</xdr:row>
      <xdr:rowOff>28574</xdr:rowOff>
    </xdr:to>
    <xdr:graphicFrame macro="">
      <xdr:nvGraphicFramePr>
        <xdr:cNvPr id="2" name="Chart 1">
          <a:extLst>
            <a:ext uri="{FF2B5EF4-FFF2-40B4-BE49-F238E27FC236}">
              <a16:creationId xmlns:a16="http://schemas.microsoft.com/office/drawing/2014/main" id="{7518FCCF-CD63-4A57-963B-502E400BDF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309562</xdr:colOff>
      <xdr:row>37</xdr:row>
      <xdr:rowOff>95250</xdr:rowOff>
    </xdr:from>
    <xdr:to>
      <xdr:col>12</xdr:col>
      <xdr:colOff>495300</xdr:colOff>
      <xdr:row>53</xdr:row>
      <xdr:rowOff>114300</xdr:rowOff>
    </xdr:to>
    <xdr:graphicFrame macro="">
      <xdr:nvGraphicFramePr>
        <xdr:cNvPr id="3" name="Chart 2">
          <a:extLst>
            <a:ext uri="{FF2B5EF4-FFF2-40B4-BE49-F238E27FC236}">
              <a16:creationId xmlns:a16="http://schemas.microsoft.com/office/drawing/2014/main" id="{61435283-6356-41D5-8667-A2B91AF50F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290512</xdr:colOff>
      <xdr:row>64</xdr:row>
      <xdr:rowOff>95249</xdr:rowOff>
    </xdr:from>
    <xdr:to>
      <xdr:col>12</xdr:col>
      <xdr:colOff>476250</xdr:colOff>
      <xdr:row>80</xdr:row>
      <xdr:rowOff>66674</xdr:rowOff>
    </xdr:to>
    <xdr:graphicFrame macro="">
      <xdr:nvGraphicFramePr>
        <xdr:cNvPr id="4" name="Chart 3">
          <a:extLst>
            <a:ext uri="{FF2B5EF4-FFF2-40B4-BE49-F238E27FC236}">
              <a16:creationId xmlns:a16="http://schemas.microsoft.com/office/drawing/2014/main" id="{42064940-7D43-4417-AD18-A5C851DBE8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319086</xdr:colOff>
      <xdr:row>91</xdr:row>
      <xdr:rowOff>9525</xdr:rowOff>
    </xdr:from>
    <xdr:to>
      <xdr:col>13</xdr:col>
      <xdr:colOff>66675</xdr:colOff>
      <xdr:row>106</xdr:row>
      <xdr:rowOff>114300</xdr:rowOff>
    </xdr:to>
    <xdr:graphicFrame macro="">
      <xdr:nvGraphicFramePr>
        <xdr:cNvPr id="5" name="Chart 4">
          <a:extLst>
            <a:ext uri="{FF2B5EF4-FFF2-40B4-BE49-F238E27FC236}">
              <a16:creationId xmlns:a16="http://schemas.microsoft.com/office/drawing/2014/main" id="{4337E31A-A3F7-471A-B056-2144F76651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56</xdr:row>
      <xdr:rowOff>122690</xdr:rowOff>
    </xdr:from>
    <xdr:to>
      <xdr:col>5</xdr:col>
      <xdr:colOff>377505</xdr:colOff>
      <xdr:row>68</xdr:row>
      <xdr:rowOff>156945</xdr:rowOff>
    </xdr:to>
    <xdr:graphicFrame macro="">
      <xdr:nvGraphicFramePr>
        <xdr:cNvPr id="4" name="Chart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689471</xdr:colOff>
      <xdr:row>55</xdr:row>
      <xdr:rowOff>166381</xdr:rowOff>
    </xdr:from>
    <xdr:to>
      <xdr:col>11</xdr:col>
      <xdr:colOff>228076</xdr:colOff>
      <xdr:row>67</xdr:row>
      <xdr:rowOff>200636</xdr:rowOff>
    </xdr:to>
    <xdr:graphicFrame macro="">
      <xdr:nvGraphicFramePr>
        <xdr:cNvPr id="5" name="Chart 4">
          <a:extLst>
            <a:ext uri="{FF2B5EF4-FFF2-40B4-BE49-F238E27FC236}">
              <a16:creationId xmlns:a16="http://schemas.microsoft.com/office/drawing/2014/main"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69909</xdr:colOff>
      <xdr:row>69</xdr:row>
      <xdr:rowOff>183858</xdr:rowOff>
    </xdr:from>
    <xdr:to>
      <xdr:col>5</xdr:col>
      <xdr:colOff>447414</xdr:colOff>
      <xdr:row>83</xdr:row>
      <xdr:rowOff>87035</xdr:rowOff>
    </xdr:to>
    <xdr:graphicFrame macro="">
      <xdr:nvGraphicFramePr>
        <xdr:cNvPr id="6" name="Chart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7866</xdr:colOff>
      <xdr:row>68</xdr:row>
      <xdr:rowOff>35303</xdr:rowOff>
    </xdr:from>
    <xdr:to>
      <xdr:col>11</xdr:col>
      <xdr:colOff>385370</xdr:colOff>
      <xdr:row>81</xdr:row>
      <xdr:rowOff>139466</xdr:rowOff>
    </xdr:to>
    <xdr:graphicFrame macro="">
      <xdr:nvGraphicFramePr>
        <xdr:cNvPr id="7" name="Chart 6">
          <a:extLst>
            <a:ext uri="{FF2B5EF4-FFF2-40B4-BE49-F238E27FC236}">
              <a16:creationId xmlns:a16="http://schemas.microsoft.com/office/drawing/2014/main" id="{00000000-0008-0000-0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Green Yellow">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cbo.gov/publication/54918"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ecform4.com/insider-trading/1181175.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8" Type="http://schemas.openxmlformats.org/officeDocument/2006/relationships/hyperlink" Target="https://nwlc-ciw49tixgw5lbab.stackpathdns.com/wp-content/uploads/2018/06/FINAL-By-The-Numbers.pdf" TargetMode="External"/><Relationship Id="rId3" Type="http://schemas.openxmlformats.org/officeDocument/2006/relationships/hyperlink" Target="https://stats.oecd.org/" TargetMode="External"/><Relationship Id="rId7" Type="http://schemas.openxmlformats.org/officeDocument/2006/relationships/hyperlink" Target="https://eclkc.ohs.acf.hhs.gov/sites/default/files/pdf/hs-program-fact-sheet-2017_0.pdf" TargetMode="External"/><Relationship Id="rId2" Type="http://schemas.openxmlformats.org/officeDocument/2006/relationships/hyperlink" Target="https://scrip.pharmaintelligence.informa.com/SC124843/JJ-Says-Bedaquiline-TB-Treatment-Cost-Fair-1Day-Price-Unrealistic" TargetMode="External"/><Relationship Id="rId1" Type="http://schemas.openxmlformats.org/officeDocument/2006/relationships/hyperlink" Target="https://www.kff.org/medicaid/state-indicator/total-chip-spending/?currentTimeframe=0&amp;sortModel=%7B%22colId%22:%22Location%22,%22sort%22:%22asc%22%7D" TargetMode="External"/><Relationship Id="rId6" Type="http://schemas.openxmlformats.org/officeDocument/2006/relationships/hyperlink" Target="https://www.nih.gov/about-nih/what-we-do/budget" TargetMode="External"/><Relationship Id="rId5" Type="http://schemas.openxmlformats.org/officeDocument/2006/relationships/hyperlink" Target="https://www.kff.org/other/state-indicator/children-0-18/?dataView=1&amp;currentTimeframe=0&amp;sortModel=%7B%22colId%22:%22Location%22,%22sort%22:%22asc%22%7D" TargetMode="External"/><Relationship Id="rId10" Type="http://schemas.openxmlformats.org/officeDocument/2006/relationships/printerSettings" Target="../printerSettings/printerSettings5.bin"/><Relationship Id="rId4" Type="http://schemas.openxmlformats.org/officeDocument/2006/relationships/hyperlink" Target="https://stats.oecd.org/" TargetMode="External"/><Relationship Id="rId9" Type="http://schemas.openxmlformats.org/officeDocument/2006/relationships/hyperlink" Target="https://mchb.tvisdata.hrsa.gov/Financial/FundingBySource"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5"/>
  <sheetViews>
    <sheetView tabSelected="1" workbookViewId="0">
      <selection activeCell="A31" sqref="A31"/>
    </sheetView>
  </sheetViews>
  <sheetFormatPr defaultColWidth="11" defaultRowHeight="15.75" x14ac:dyDescent="0.25"/>
  <cols>
    <col min="4" max="4" width="37.375" customWidth="1"/>
    <col min="5" max="5" width="10.875" customWidth="1"/>
  </cols>
  <sheetData>
    <row r="1" spans="1:5" x14ac:dyDescent="0.25">
      <c r="A1" s="145" t="s">
        <v>309</v>
      </c>
      <c r="B1" s="130"/>
      <c r="E1" s="146" t="s">
        <v>311</v>
      </c>
    </row>
    <row r="2" spans="1:5" x14ac:dyDescent="0.25">
      <c r="A2" s="130" t="s">
        <v>31</v>
      </c>
      <c r="B2" s="130"/>
      <c r="E2" s="1" t="s">
        <v>11</v>
      </c>
    </row>
    <row r="3" spans="1:5" x14ac:dyDescent="0.25">
      <c r="A3" s="130" t="s">
        <v>32</v>
      </c>
      <c r="B3" s="130"/>
    </row>
    <row r="4" spans="1:5" x14ac:dyDescent="0.25">
      <c r="A4" s="130" t="s">
        <v>33</v>
      </c>
      <c r="B4" s="130"/>
    </row>
    <row r="5" spans="1:5" x14ac:dyDescent="0.25">
      <c r="A5" s="130" t="s">
        <v>34</v>
      </c>
      <c r="B5" s="130"/>
    </row>
    <row r="6" spans="1:5" x14ac:dyDescent="0.25">
      <c r="A6" s="130" t="s">
        <v>35</v>
      </c>
      <c r="B6" s="130"/>
    </row>
    <row r="8" spans="1:5" x14ac:dyDescent="0.25">
      <c r="A8" s="130" t="s">
        <v>276</v>
      </c>
      <c r="B8" s="138" t="s">
        <v>310</v>
      </c>
    </row>
    <row r="10" spans="1:5" x14ac:dyDescent="0.25">
      <c r="A10" s="138" t="s">
        <v>36</v>
      </c>
      <c r="B10" s="138"/>
      <c r="C10" s="141"/>
      <c r="D10" s="141"/>
      <c r="E10" s="141"/>
    </row>
    <row r="11" spans="1:5" x14ac:dyDescent="0.25">
      <c r="A11" s="138" t="s">
        <v>37</v>
      </c>
      <c r="B11" s="138" t="s">
        <v>276</v>
      </c>
      <c r="C11" s="141"/>
      <c r="D11" s="142" t="s">
        <v>277</v>
      </c>
      <c r="E11" s="142" t="s">
        <v>278</v>
      </c>
    </row>
    <row r="12" spans="1:5" x14ac:dyDescent="0.25">
      <c r="A12" s="139">
        <v>39448</v>
      </c>
      <c r="B12" s="140">
        <v>1558.7560000000001</v>
      </c>
      <c r="C12" s="141">
        <v>2008</v>
      </c>
      <c r="D12" s="143">
        <f>SUM(B12:B15)</f>
        <v>5517.2309999999998</v>
      </c>
      <c r="E12" s="144">
        <v>0.121</v>
      </c>
    </row>
    <row r="13" spans="1:5" x14ac:dyDescent="0.25">
      <c r="A13" s="139">
        <v>39539</v>
      </c>
      <c r="B13" s="140">
        <v>1570.559</v>
      </c>
      <c r="C13" s="141">
        <v>2009</v>
      </c>
      <c r="D13" s="143">
        <f>SUM(B16:B19)</f>
        <v>5869.9660000000003</v>
      </c>
      <c r="E13" s="144">
        <v>6.6000000000000003E-2</v>
      </c>
    </row>
    <row r="14" spans="1:5" x14ac:dyDescent="0.25">
      <c r="A14" s="139">
        <v>39630</v>
      </c>
      <c r="B14" s="140">
        <v>1496.693</v>
      </c>
      <c r="C14" s="141">
        <v>2010</v>
      </c>
      <c r="D14" s="143">
        <f>SUM(B20:B23)</f>
        <v>7336.0550000000003</v>
      </c>
      <c r="E14" s="144">
        <v>8.8999999999999996E-2</v>
      </c>
    </row>
    <row r="15" spans="1:5" x14ac:dyDescent="0.25">
      <c r="A15" s="139">
        <v>39722</v>
      </c>
      <c r="B15" s="140">
        <v>891.22299999999996</v>
      </c>
      <c r="C15" s="141">
        <v>2011</v>
      </c>
      <c r="D15" s="143">
        <f>SUM(B24:B27)</f>
        <v>7272.9210000000003</v>
      </c>
      <c r="E15" s="144">
        <v>7.9000000000000001E-2</v>
      </c>
    </row>
    <row r="16" spans="1:5" x14ac:dyDescent="0.25">
      <c r="A16" s="139">
        <v>39814</v>
      </c>
      <c r="B16" s="140">
        <v>1254.684</v>
      </c>
      <c r="C16" s="141">
        <v>2012</v>
      </c>
      <c r="D16" s="143">
        <f>SUM(B28:B31)</f>
        <v>8624.4110000000001</v>
      </c>
      <c r="E16" s="144">
        <v>9.9000000000000005E-2</v>
      </c>
    </row>
    <row r="17" spans="1:5" x14ac:dyDescent="0.25">
      <c r="A17" s="139">
        <v>39904</v>
      </c>
      <c r="B17" s="140">
        <v>1356.9580000000001</v>
      </c>
      <c r="C17" s="141">
        <v>2013</v>
      </c>
      <c r="D17" s="143">
        <f>SUM(B32:B35)</f>
        <v>8606.09</v>
      </c>
      <c r="E17" s="144">
        <v>9.9000000000000005E-2</v>
      </c>
    </row>
    <row r="18" spans="1:5" x14ac:dyDescent="0.25">
      <c r="A18" s="139">
        <v>39995</v>
      </c>
      <c r="B18" s="140">
        <v>1553.3710000000001</v>
      </c>
      <c r="C18" s="141">
        <v>2014</v>
      </c>
      <c r="D18" s="143">
        <f>SUM(B40:B43)</f>
        <v>8536.7340000000004</v>
      </c>
      <c r="E18" s="144">
        <v>0.106</v>
      </c>
    </row>
    <row r="19" spans="1:5" x14ac:dyDescent="0.25">
      <c r="A19" s="139">
        <v>40087</v>
      </c>
      <c r="B19" s="140">
        <v>1704.953</v>
      </c>
      <c r="C19" s="141">
        <v>2015</v>
      </c>
      <c r="D19" s="143">
        <f>SUM(B40:B43)</f>
        <v>8536.7340000000004</v>
      </c>
      <c r="E19" s="144">
        <v>0.106</v>
      </c>
    </row>
    <row r="20" spans="1:5" x14ac:dyDescent="0.25">
      <c r="A20" s="139">
        <v>40179</v>
      </c>
      <c r="B20" s="140">
        <v>1786.9449999999999</v>
      </c>
      <c r="C20" s="141">
        <v>2016</v>
      </c>
      <c r="D20" s="143">
        <f>SUM(B44:B47)</f>
        <v>8518.8410000000003</v>
      </c>
      <c r="E20" s="144">
        <v>9.1999999999999998E-2</v>
      </c>
    </row>
    <row r="21" spans="1:5" x14ac:dyDescent="0.25">
      <c r="A21" s="139">
        <v>40269</v>
      </c>
      <c r="B21" s="140">
        <v>1779.3150000000001</v>
      </c>
      <c r="C21" s="141">
        <v>2017</v>
      </c>
      <c r="D21" s="143">
        <f>SUM(B48:B51)</f>
        <v>8727.491</v>
      </c>
      <c r="E21" s="144">
        <v>0.09</v>
      </c>
    </row>
    <row r="22" spans="1:5" x14ac:dyDescent="0.25">
      <c r="A22" s="139">
        <v>40360</v>
      </c>
      <c r="B22" s="140">
        <v>1879.3340000000001</v>
      </c>
      <c r="C22" s="141">
        <v>2018</v>
      </c>
      <c r="D22" s="143">
        <f>(SUM(B52:B55))</f>
        <v>8712.7789999999986</v>
      </c>
      <c r="E22" s="144">
        <v>6.2E-2</v>
      </c>
    </row>
    <row r="23" spans="1:5" x14ac:dyDescent="0.25">
      <c r="A23" s="139">
        <v>40452</v>
      </c>
      <c r="B23" s="140">
        <v>1890.461</v>
      </c>
      <c r="C23" s="141"/>
      <c r="D23" s="141"/>
      <c r="E23" s="141"/>
    </row>
    <row r="24" spans="1:5" x14ac:dyDescent="0.25">
      <c r="A24" s="139">
        <v>40544</v>
      </c>
      <c r="B24" s="140">
        <v>1749.3440000000001</v>
      </c>
      <c r="C24" s="141"/>
      <c r="D24" s="141"/>
      <c r="E24" s="141"/>
    </row>
    <row r="25" spans="1:5" x14ac:dyDescent="0.25">
      <c r="A25" s="139">
        <v>40634</v>
      </c>
      <c r="B25" s="140">
        <v>1814.1969999999999</v>
      </c>
      <c r="C25" s="141"/>
      <c r="D25" s="141"/>
      <c r="E25" s="141"/>
    </row>
    <row r="26" spans="1:5" x14ac:dyDescent="0.25">
      <c r="A26" s="139">
        <v>40725</v>
      </c>
      <c r="B26" s="140">
        <v>1795.846</v>
      </c>
      <c r="C26" s="141"/>
      <c r="D26" s="141"/>
      <c r="E26" s="141"/>
    </row>
    <row r="27" spans="1:5" x14ac:dyDescent="0.25">
      <c r="A27" s="139">
        <v>40817</v>
      </c>
      <c r="B27" s="140">
        <v>1913.5340000000001</v>
      </c>
      <c r="C27" s="141"/>
      <c r="D27" s="141"/>
      <c r="E27" s="141"/>
    </row>
    <row r="28" spans="1:5" x14ac:dyDescent="0.25">
      <c r="A28" s="139">
        <v>40909</v>
      </c>
      <c r="B28" s="140">
        <v>2199.9090000000001</v>
      </c>
      <c r="C28" s="141"/>
      <c r="D28" s="141"/>
      <c r="E28" s="141"/>
    </row>
    <row r="29" spans="1:5" x14ac:dyDescent="0.25">
      <c r="A29" s="139">
        <v>41000</v>
      </c>
      <c r="B29" s="140">
        <v>2135.9810000000002</v>
      </c>
      <c r="C29" s="141"/>
      <c r="D29" s="141"/>
      <c r="E29" s="141"/>
    </row>
    <row r="30" spans="1:5" x14ac:dyDescent="0.25">
      <c r="A30" s="139">
        <v>41091</v>
      </c>
      <c r="B30" s="140">
        <v>2160.0509999999999</v>
      </c>
      <c r="C30" s="141"/>
      <c r="D30" s="141"/>
      <c r="E30" s="141"/>
    </row>
    <row r="31" spans="1:5" x14ac:dyDescent="0.25">
      <c r="A31" s="139">
        <v>41183</v>
      </c>
      <c r="B31" s="140">
        <v>2128.4699999999998</v>
      </c>
      <c r="C31" s="141"/>
      <c r="D31" s="141"/>
      <c r="E31" s="141"/>
    </row>
    <row r="32" spans="1:5" x14ac:dyDescent="0.25">
      <c r="A32" s="139">
        <v>41275</v>
      </c>
      <c r="B32" s="140">
        <v>2127.0929999999998</v>
      </c>
      <c r="C32" s="141"/>
      <c r="D32" s="141"/>
      <c r="E32" s="141"/>
    </row>
    <row r="33" spans="1:5" x14ac:dyDescent="0.25">
      <c r="A33" s="139">
        <v>41365</v>
      </c>
      <c r="B33" s="140">
        <v>2114.721</v>
      </c>
      <c r="C33" s="141"/>
      <c r="D33" s="141"/>
      <c r="E33" s="141"/>
    </row>
    <row r="34" spans="1:5" x14ac:dyDescent="0.25">
      <c r="A34" s="139">
        <v>41456</v>
      </c>
      <c r="B34" s="140">
        <v>2157.5100000000002</v>
      </c>
      <c r="C34" s="141"/>
      <c r="D34" s="141"/>
      <c r="E34" s="141"/>
    </row>
    <row r="35" spans="1:5" x14ac:dyDescent="0.25">
      <c r="A35" s="139">
        <v>41548</v>
      </c>
      <c r="B35" s="140">
        <v>2206.7660000000001</v>
      </c>
      <c r="C35" s="141"/>
      <c r="D35" s="141"/>
      <c r="E35" s="141"/>
    </row>
    <row r="36" spans="1:5" x14ac:dyDescent="0.25">
      <c r="A36" s="139">
        <v>41640</v>
      </c>
      <c r="B36" s="140">
        <v>2172.6770000000001</v>
      </c>
      <c r="C36" s="141"/>
      <c r="D36" s="141"/>
      <c r="E36" s="141"/>
    </row>
    <row r="37" spans="1:5" x14ac:dyDescent="0.25">
      <c r="A37" s="139">
        <v>41730</v>
      </c>
      <c r="B37" s="140">
        <v>2290.0819999999999</v>
      </c>
      <c r="C37" s="141"/>
      <c r="D37" s="141"/>
      <c r="E37" s="141"/>
    </row>
    <row r="38" spans="1:5" x14ac:dyDescent="0.25">
      <c r="A38" s="139">
        <v>41821</v>
      </c>
      <c r="B38" s="140">
        <v>2316.0889999999999</v>
      </c>
      <c r="C38" s="141"/>
      <c r="D38" s="141"/>
      <c r="E38" s="141"/>
    </row>
    <row r="39" spans="1:5" x14ac:dyDescent="0.25">
      <c r="A39" s="139">
        <v>41913</v>
      </c>
      <c r="B39" s="140">
        <v>2271.3220000000001</v>
      </c>
      <c r="C39" s="141"/>
      <c r="D39" s="141"/>
      <c r="E39" s="141"/>
    </row>
    <row r="40" spans="1:5" x14ac:dyDescent="0.25">
      <c r="A40" s="139">
        <v>42005</v>
      </c>
      <c r="B40" s="140">
        <v>2193.9879999999998</v>
      </c>
      <c r="C40" s="141"/>
      <c r="D40" s="141"/>
      <c r="E40" s="141"/>
    </row>
    <row r="41" spans="1:5" x14ac:dyDescent="0.25">
      <c r="A41" s="139">
        <v>42095</v>
      </c>
      <c r="B41" s="140">
        <v>2222.8000000000002</v>
      </c>
      <c r="C41" s="141"/>
      <c r="D41" s="141"/>
      <c r="E41" s="141"/>
    </row>
    <row r="42" spans="1:5" x14ac:dyDescent="0.25">
      <c r="A42" s="139">
        <v>42186</v>
      </c>
      <c r="B42" s="140">
        <v>2129.627</v>
      </c>
      <c r="C42" s="141"/>
      <c r="D42" s="141"/>
      <c r="E42" s="141"/>
    </row>
    <row r="43" spans="1:5" x14ac:dyDescent="0.25">
      <c r="A43" s="139">
        <v>42278</v>
      </c>
      <c r="B43" s="140">
        <v>1990.319</v>
      </c>
      <c r="C43" s="141"/>
      <c r="D43" s="141"/>
      <c r="E43" s="141"/>
    </row>
    <row r="44" spans="1:5" x14ac:dyDescent="0.25">
      <c r="A44" s="139">
        <v>42370</v>
      </c>
      <c r="B44" s="140">
        <v>2037.788</v>
      </c>
      <c r="C44" s="141"/>
      <c r="D44" s="141"/>
      <c r="E44" s="141"/>
    </row>
    <row r="45" spans="1:5" x14ac:dyDescent="0.25">
      <c r="A45" s="139">
        <v>42461</v>
      </c>
      <c r="B45" s="140">
        <v>2146.7890000000002</v>
      </c>
      <c r="C45" s="141"/>
      <c r="D45" s="141"/>
      <c r="E45" s="141"/>
    </row>
    <row r="46" spans="1:5" x14ac:dyDescent="0.25">
      <c r="A46" s="139">
        <v>42552</v>
      </c>
      <c r="B46" s="140">
        <v>2137.5439999999999</v>
      </c>
      <c r="C46" s="141"/>
      <c r="D46" s="141"/>
      <c r="E46" s="141"/>
    </row>
    <row r="47" spans="1:5" x14ac:dyDescent="0.25">
      <c r="A47" s="139">
        <v>42644</v>
      </c>
      <c r="B47" s="140">
        <v>2196.7199999999998</v>
      </c>
      <c r="C47" s="141"/>
      <c r="D47" s="141"/>
      <c r="E47" s="141"/>
    </row>
    <row r="48" spans="1:5" x14ac:dyDescent="0.25">
      <c r="A48" s="139">
        <v>42736</v>
      </c>
      <c r="B48" s="140">
        <v>2211.8040000000001</v>
      </c>
      <c r="C48" s="141"/>
      <c r="D48" s="141"/>
      <c r="E48" s="141"/>
    </row>
    <row r="49" spans="1:5" x14ac:dyDescent="0.25">
      <c r="A49" s="139">
        <v>42826</v>
      </c>
      <c r="B49" s="140">
        <v>2200.3760000000002</v>
      </c>
      <c r="C49" s="141"/>
      <c r="D49" s="141"/>
      <c r="E49" s="141"/>
    </row>
    <row r="50" spans="1:5" x14ac:dyDescent="0.25">
      <c r="A50" s="139">
        <v>42917</v>
      </c>
      <c r="B50" s="140">
        <v>2230.6689999999999</v>
      </c>
      <c r="C50" s="141"/>
      <c r="D50" s="141"/>
      <c r="E50" s="141"/>
    </row>
    <row r="51" spans="1:5" x14ac:dyDescent="0.25">
      <c r="A51" s="139">
        <v>43009</v>
      </c>
      <c r="B51" s="140">
        <v>2084.6419999999998</v>
      </c>
      <c r="C51" s="141"/>
      <c r="D51" s="141"/>
      <c r="E51" s="141"/>
    </row>
    <row r="52" spans="1:5" x14ac:dyDescent="0.25">
      <c r="A52" s="139">
        <v>43101</v>
      </c>
      <c r="B52" s="140">
        <v>2111.027</v>
      </c>
      <c r="C52" s="141"/>
      <c r="D52" s="141"/>
      <c r="E52" s="141"/>
    </row>
    <row r="53" spans="1:5" x14ac:dyDescent="0.25">
      <c r="A53" s="139">
        <v>43191</v>
      </c>
      <c r="B53" s="140">
        <v>2197.1579999999999</v>
      </c>
      <c r="C53" s="141"/>
      <c r="D53" s="141"/>
      <c r="E53" s="141"/>
    </row>
    <row r="54" spans="1:5" x14ac:dyDescent="0.25">
      <c r="A54" s="139">
        <v>43282</v>
      </c>
      <c r="B54" s="140">
        <v>2223.9160000000002</v>
      </c>
      <c r="C54" s="141"/>
      <c r="D54" s="141"/>
      <c r="E54" s="141"/>
    </row>
    <row r="55" spans="1:5" x14ac:dyDescent="0.25">
      <c r="A55" s="139">
        <v>43374</v>
      </c>
      <c r="B55" s="140">
        <v>2180.6779999999999</v>
      </c>
      <c r="C55" s="141"/>
      <c r="D55" s="141"/>
      <c r="E55" s="141"/>
    </row>
  </sheetData>
  <sheetProtection sheet="1" objects="1" scenarios="1"/>
  <hyperlinks>
    <hyperlink ref="E2" r:id="rId1" xr:uid="{00000000-0004-0000-0000-000000000000}"/>
  </hyperlinks>
  <pageMargins left="0.7" right="0.7" top="0.75" bottom="0.75" header="0.3" footer="0.3"/>
  <pageSetup orientation="portrait" horizontalDpi="0" verticalDpi="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7"/>
  <sheetViews>
    <sheetView workbookViewId="0">
      <selection activeCell="B27" sqref="B27"/>
    </sheetView>
  </sheetViews>
  <sheetFormatPr defaultRowHeight="12.75" x14ac:dyDescent="0.2"/>
  <cols>
    <col min="1" max="1" width="10" style="141" bestFit="1" customWidth="1"/>
    <col min="2" max="3" width="9.375" style="141" bestFit="1" customWidth="1"/>
    <col min="4" max="4" width="14" style="141" bestFit="1" customWidth="1"/>
    <col min="5" max="5" width="14.125" style="141" bestFit="1" customWidth="1"/>
    <col min="6" max="16384" width="9" style="141"/>
  </cols>
  <sheetData>
    <row r="1" spans="1:5" x14ac:dyDescent="0.2">
      <c r="A1" s="142" t="s">
        <v>260</v>
      </c>
    </row>
    <row r="2" spans="1:5" ht="13.5" thickBot="1" x14ac:dyDescent="0.25">
      <c r="A2" s="142" t="s">
        <v>283</v>
      </c>
    </row>
    <row r="3" spans="1:5" ht="26.25" thickBot="1" x14ac:dyDescent="0.25">
      <c r="A3" s="150" t="s">
        <v>257</v>
      </c>
      <c r="B3" s="151" t="s">
        <v>259</v>
      </c>
      <c r="C3" s="151" t="s">
        <v>258</v>
      </c>
      <c r="D3" s="151" t="s">
        <v>281</v>
      </c>
    </row>
    <row r="4" spans="1:5" ht="13.5" thickBot="1" x14ac:dyDescent="0.25">
      <c r="A4" s="152">
        <v>43312</v>
      </c>
      <c r="B4" s="153">
        <v>228091</v>
      </c>
      <c r="C4" s="154">
        <v>65</v>
      </c>
      <c r="D4" s="155">
        <v>14826691</v>
      </c>
    </row>
    <row r="5" spans="1:5" ht="13.5" thickBot="1" x14ac:dyDescent="0.25">
      <c r="A5" s="152">
        <v>43361</v>
      </c>
      <c r="B5" s="153">
        <v>279851</v>
      </c>
      <c r="C5" s="154">
        <v>70.08</v>
      </c>
      <c r="D5" s="155">
        <v>19611818</v>
      </c>
      <c r="E5" s="156"/>
    </row>
    <row r="6" spans="1:5" ht="13.5" thickBot="1" x14ac:dyDescent="0.25">
      <c r="A6" s="152">
        <v>43375</v>
      </c>
      <c r="B6" s="153">
        <v>279850</v>
      </c>
      <c r="C6" s="154">
        <v>72.069999999999993</v>
      </c>
      <c r="D6" s="155">
        <v>20168258</v>
      </c>
    </row>
    <row r="7" spans="1:5" ht="13.5" thickBot="1" x14ac:dyDescent="0.25">
      <c r="A7" s="152">
        <v>43501</v>
      </c>
      <c r="B7" s="153">
        <v>231566</v>
      </c>
      <c r="C7" s="154">
        <v>78.08</v>
      </c>
      <c r="D7" s="155">
        <v>18079654</v>
      </c>
    </row>
    <row r="8" spans="1:5" ht="13.5" thickBot="1" x14ac:dyDescent="0.25">
      <c r="A8" s="152">
        <v>43511</v>
      </c>
      <c r="B8" s="153">
        <v>135613</v>
      </c>
      <c r="C8" s="154">
        <v>80.03</v>
      </c>
      <c r="D8" s="155">
        <v>10853106</v>
      </c>
    </row>
    <row r="9" spans="1:5" ht="13.5" thickBot="1" x14ac:dyDescent="0.25">
      <c r="A9" s="152">
        <v>43517</v>
      </c>
      <c r="B9" s="153">
        <v>95953</v>
      </c>
      <c r="C9" s="154">
        <v>80.010000000000005</v>
      </c>
      <c r="D9" s="155">
        <v>7677541</v>
      </c>
    </row>
    <row r="10" spans="1:5" ht="13.5" thickBot="1" x14ac:dyDescent="0.25">
      <c r="A10" s="152">
        <v>43528</v>
      </c>
      <c r="B10" s="153">
        <v>20105</v>
      </c>
      <c r="C10" s="154">
        <v>82</v>
      </c>
      <c r="D10" s="155">
        <v>1648684</v>
      </c>
    </row>
    <row r="11" spans="1:5" ht="13.5" thickBot="1" x14ac:dyDescent="0.25">
      <c r="A11" s="152">
        <v>43537</v>
      </c>
      <c r="B11" s="153">
        <v>18725</v>
      </c>
      <c r="C11" s="154">
        <v>82</v>
      </c>
      <c r="D11" s="155">
        <v>1535454</v>
      </c>
    </row>
    <row r="12" spans="1:5" ht="13.5" thickBot="1" x14ac:dyDescent="0.25">
      <c r="A12" s="152">
        <v>43544</v>
      </c>
      <c r="B12" s="153">
        <v>192736</v>
      </c>
      <c r="C12" s="154">
        <v>82.05</v>
      </c>
      <c r="D12" s="155">
        <v>15813372</v>
      </c>
    </row>
    <row r="13" spans="1:5" ht="13.5" thickBot="1" x14ac:dyDescent="0.25">
      <c r="A13" s="157" t="s">
        <v>10</v>
      </c>
      <c r="B13" s="158"/>
      <c r="C13" s="159"/>
      <c r="D13" s="160">
        <f>SUM(D4:D12)</f>
        <v>110214578</v>
      </c>
    </row>
    <row r="14" spans="1:5" x14ac:dyDescent="0.2">
      <c r="A14" s="141" t="s">
        <v>282</v>
      </c>
    </row>
    <row r="16" spans="1:5" x14ac:dyDescent="0.2">
      <c r="B16" s="161"/>
      <c r="C16" s="161"/>
    </row>
    <row r="17" spans="1:3" x14ac:dyDescent="0.2">
      <c r="A17" s="162"/>
      <c r="B17" s="162"/>
      <c r="C17" s="162"/>
    </row>
  </sheetData>
  <sheetProtection sheet="1" objects="1" scenarios="1"/>
  <hyperlinks>
    <hyperlink ref="A1" r:id="rId1" display="https://www.secform4.com/insider-trading/1181175.htm" xr:uid="{00000000-0004-0000-0900-000000000000}"/>
  </hyperlinks>
  <pageMargins left="0.7" right="0.7" top="0.75" bottom="0.75" header="0.3" footer="0.3"/>
  <pageSetup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4"/>
  <sheetViews>
    <sheetView workbookViewId="0">
      <selection activeCell="A3" sqref="A3"/>
    </sheetView>
  </sheetViews>
  <sheetFormatPr defaultColWidth="19.375" defaultRowHeight="12.75" x14ac:dyDescent="0.2"/>
  <cols>
    <col min="1" max="16384" width="19.375" style="141"/>
  </cols>
  <sheetData>
    <row r="1" spans="1:9" x14ac:dyDescent="0.2">
      <c r="A1" s="142" t="s">
        <v>0</v>
      </c>
    </row>
    <row r="2" spans="1:9" x14ac:dyDescent="0.2">
      <c r="A2" s="142" t="s">
        <v>275</v>
      </c>
    </row>
    <row r="3" spans="1:9" x14ac:dyDescent="0.2">
      <c r="A3" s="142" t="s">
        <v>312</v>
      </c>
    </row>
    <row r="4" spans="1:9" x14ac:dyDescent="0.2">
      <c r="A4" s="163"/>
      <c r="B4" s="164">
        <v>2012</v>
      </c>
      <c r="C4" s="164">
        <v>2013</v>
      </c>
      <c r="D4" s="165">
        <v>2014</v>
      </c>
      <c r="E4" s="165">
        <v>2015</v>
      </c>
      <c r="F4" s="164">
        <v>2016</v>
      </c>
      <c r="G4" s="164">
        <v>2017</v>
      </c>
      <c r="H4" s="164">
        <v>2018</v>
      </c>
      <c r="I4" s="166" t="s">
        <v>279</v>
      </c>
    </row>
    <row r="5" spans="1:9" x14ac:dyDescent="0.2">
      <c r="A5" s="167" t="s">
        <v>1</v>
      </c>
      <c r="B5" s="168">
        <v>5.88</v>
      </c>
      <c r="C5" s="168">
        <v>5.63</v>
      </c>
      <c r="D5" s="168">
        <v>5.98</v>
      </c>
      <c r="E5" s="168">
        <v>6.35</v>
      </c>
      <c r="F5" s="168">
        <v>5.71</v>
      </c>
      <c r="G5" s="168">
        <v>6.91</v>
      </c>
      <c r="H5" s="168">
        <v>6.66</v>
      </c>
      <c r="I5" s="169">
        <f>AVERAGE(D5:H5)</f>
        <v>6.3220000000000001</v>
      </c>
    </row>
    <row r="6" spans="1:9" x14ac:dyDescent="0.2">
      <c r="A6" s="167" t="s">
        <v>7</v>
      </c>
      <c r="B6" s="168">
        <v>10.45</v>
      </c>
      <c r="C6" s="168">
        <v>10.14</v>
      </c>
      <c r="D6" s="168">
        <v>9.49</v>
      </c>
      <c r="E6" s="168">
        <v>9.42</v>
      </c>
      <c r="F6" s="168">
        <v>9.8800000000000008</v>
      </c>
      <c r="G6" s="168">
        <v>10.5</v>
      </c>
      <c r="H6" s="168">
        <v>11.4</v>
      </c>
      <c r="I6" s="169">
        <f>AVERAGE(B6:H6)</f>
        <v>10.182857142857143</v>
      </c>
    </row>
    <row r="7" spans="1:9" x14ac:dyDescent="0.2">
      <c r="A7" s="167" t="s">
        <v>8</v>
      </c>
      <c r="B7" s="168">
        <v>9.51</v>
      </c>
      <c r="C7" s="168">
        <v>6.03</v>
      </c>
      <c r="D7" s="168">
        <v>4.82</v>
      </c>
      <c r="E7" s="168">
        <v>5.54</v>
      </c>
      <c r="F7" s="168">
        <v>6.5</v>
      </c>
      <c r="G7" s="168">
        <v>6.32</v>
      </c>
      <c r="H7" s="168">
        <v>6.85</v>
      </c>
      <c r="I7" s="169">
        <f t="shared" ref="I7:I9" si="0">AVERAGE(B7:H7)</f>
        <v>6.51</v>
      </c>
    </row>
    <row r="8" spans="1:9" x14ac:dyDescent="0.2">
      <c r="A8" s="167" t="s">
        <v>9</v>
      </c>
      <c r="B8" s="168">
        <v>6.2</v>
      </c>
      <c r="C8" s="168">
        <v>2.17</v>
      </c>
      <c r="D8" s="168">
        <v>2.2000000000000002</v>
      </c>
      <c r="E8" s="168">
        <v>2.48</v>
      </c>
      <c r="F8" s="168">
        <v>2.29</v>
      </c>
      <c r="G8" s="168">
        <v>4.1500000000000004</v>
      </c>
      <c r="H8" s="168">
        <v>3.68</v>
      </c>
      <c r="I8" s="169">
        <f t="shared" si="0"/>
        <v>3.31</v>
      </c>
    </row>
    <row r="9" spans="1:9" x14ac:dyDescent="0.2">
      <c r="A9" s="167" t="s">
        <v>244</v>
      </c>
      <c r="B9" s="168">
        <f t="shared" ref="B9:F9" si="1">SUM(B5:B8)</f>
        <v>32.04</v>
      </c>
      <c r="C9" s="168">
        <f t="shared" si="1"/>
        <v>23.97</v>
      </c>
      <c r="D9" s="168">
        <f t="shared" si="1"/>
        <v>22.49</v>
      </c>
      <c r="E9" s="168">
        <f t="shared" si="1"/>
        <v>23.79</v>
      </c>
      <c r="F9" s="168">
        <f t="shared" si="1"/>
        <v>24.38</v>
      </c>
      <c r="G9" s="168">
        <f>SUM(G5:G8)</f>
        <v>27.880000000000003</v>
      </c>
      <c r="H9" s="168">
        <f>SUM(H5:H8)</f>
        <v>28.590000000000003</v>
      </c>
      <c r="I9" s="169">
        <f t="shared" si="0"/>
        <v>26.162857142857142</v>
      </c>
    </row>
    <row r="10" spans="1:9" x14ac:dyDescent="0.2">
      <c r="A10" s="167"/>
      <c r="B10" s="168"/>
      <c r="C10" s="168"/>
      <c r="D10" s="168"/>
      <c r="E10" s="168"/>
      <c r="F10" s="168"/>
      <c r="G10" s="168"/>
      <c r="H10" s="168"/>
      <c r="I10" s="170"/>
    </row>
    <row r="11" spans="1:9" x14ac:dyDescent="0.2">
      <c r="A11" s="171" t="s">
        <v>2</v>
      </c>
      <c r="B11" s="168"/>
      <c r="C11" s="168"/>
      <c r="D11" s="168">
        <v>17.23</v>
      </c>
      <c r="E11" s="168">
        <v>18.93</v>
      </c>
      <c r="F11" s="168">
        <v>19.73</v>
      </c>
      <c r="G11" s="168">
        <v>25.85</v>
      </c>
      <c r="H11" s="168">
        <v>27.99</v>
      </c>
      <c r="I11" s="170"/>
    </row>
    <row r="12" spans="1:9" x14ac:dyDescent="0.2">
      <c r="A12" s="172" t="s">
        <v>245</v>
      </c>
      <c r="B12" s="173">
        <v>145.5</v>
      </c>
      <c r="C12" s="173">
        <v>135.9</v>
      </c>
      <c r="D12" s="173">
        <v>136.19999999999999</v>
      </c>
      <c r="E12" s="173">
        <v>147.69999999999999</v>
      </c>
      <c r="F12" s="173">
        <v>152.9</v>
      </c>
      <c r="G12" s="173">
        <v>171.5</v>
      </c>
      <c r="H12" s="173">
        <v>171.9</v>
      </c>
      <c r="I12" s="174">
        <f t="shared" ref="I12" si="2">AVERAGE(B12:H12)</f>
        <v>151.65714285714284</v>
      </c>
    </row>
    <row r="14" spans="1:9" x14ac:dyDescent="0.2">
      <c r="B14" s="142"/>
      <c r="D14" s="175"/>
      <c r="E14" s="175"/>
    </row>
  </sheetData>
  <sheetProtection sheet="1" objects="1" scenarios="1"/>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84"/>
  <sheetViews>
    <sheetView topLeftCell="A31" workbookViewId="0">
      <selection activeCell="B38" sqref="B38"/>
    </sheetView>
  </sheetViews>
  <sheetFormatPr defaultColWidth="8.875" defaultRowHeight="15" x14ac:dyDescent="0.25"/>
  <cols>
    <col min="1" max="1" width="3.5" style="20" customWidth="1"/>
    <col min="2" max="2" width="20.375" style="20" customWidth="1"/>
    <col min="3" max="3" width="16.125" style="20" customWidth="1"/>
    <col min="4" max="4" width="15" style="20" customWidth="1"/>
    <col min="5" max="5" width="12.5" style="20" customWidth="1"/>
    <col min="6" max="6" width="13.125" style="20" customWidth="1"/>
    <col min="7" max="7" width="12.5" style="20" customWidth="1"/>
    <col min="8" max="8" width="13.5" style="20" customWidth="1"/>
    <col min="9" max="9" width="12" style="20" customWidth="1"/>
    <col min="10" max="16384" width="8.875" style="20"/>
  </cols>
  <sheetData>
    <row r="2" spans="2:17" ht="18.75" x14ac:dyDescent="0.3">
      <c r="B2" s="19" t="s">
        <v>91</v>
      </c>
      <c r="H2" s="21"/>
      <c r="I2" s="21"/>
      <c r="J2" s="21"/>
      <c r="K2" s="21"/>
      <c r="L2" s="21"/>
      <c r="M2" s="21"/>
      <c r="N2" s="21"/>
      <c r="O2" s="21"/>
      <c r="P2" s="21"/>
      <c r="Q2" s="21"/>
    </row>
    <row r="3" spans="2:17" ht="15.75" thickBot="1" x14ac:dyDescent="0.3">
      <c r="B3" s="22"/>
      <c r="C3" s="22"/>
      <c r="D3" s="22"/>
      <c r="E3" s="22"/>
      <c r="F3" s="22"/>
      <c r="G3" s="22"/>
      <c r="H3" s="23"/>
    </row>
    <row r="4" spans="2:17" ht="15.75" thickBot="1" x14ac:dyDescent="0.3">
      <c r="B4" s="24"/>
      <c r="C4" s="25">
        <v>2018</v>
      </c>
      <c r="D4" s="25">
        <v>2017</v>
      </c>
      <c r="E4" s="25">
        <v>2016</v>
      </c>
      <c r="F4" s="25">
        <v>2015</v>
      </c>
      <c r="G4" s="25">
        <v>2014</v>
      </c>
      <c r="H4" s="26">
        <v>2013</v>
      </c>
    </row>
    <row r="5" spans="2:17" x14ac:dyDescent="0.25">
      <c r="B5" s="27" t="s">
        <v>75</v>
      </c>
      <c r="C5" s="28">
        <v>81581</v>
      </c>
      <c r="D5" s="28">
        <v>76450</v>
      </c>
      <c r="E5" s="28">
        <v>71890</v>
      </c>
      <c r="F5" s="28">
        <v>70074</v>
      </c>
      <c r="G5" s="28">
        <v>74331</v>
      </c>
      <c r="H5" s="29">
        <v>71312</v>
      </c>
    </row>
    <row r="6" spans="2:17" x14ac:dyDescent="0.25">
      <c r="B6" s="27" t="s">
        <v>76</v>
      </c>
      <c r="C6" s="28">
        <v>17999</v>
      </c>
      <c r="D6" s="28">
        <v>17673</v>
      </c>
      <c r="E6" s="28">
        <v>19803</v>
      </c>
      <c r="F6" s="28">
        <v>19196</v>
      </c>
      <c r="G6" s="28">
        <v>20563</v>
      </c>
      <c r="H6" s="29">
        <v>15471</v>
      </c>
    </row>
    <row r="7" spans="2:17" x14ac:dyDescent="0.25">
      <c r="B7" s="27" t="s">
        <v>77</v>
      </c>
      <c r="C7" s="28">
        <v>2702</v>
      </c>
      <c r="D7" s="28">
        <v>16373</v>
      </c>
      <c r="E7" s="28">
        <v>3263</v>
      </c>
      <c r="F7" s="28">
        <v>3787</v>
      </c>
      <c r="G7" s="28">
        <v>4240</v>
      </c>
      <c r="H7" s="29">
        <v>1640</v>
      </c>
    </row>
    <row r="8" spans="2:17" x14ac:dyDescent="0.25">
      <c r="B8" s="30" t="s">
        <v>78</v>
      </c>
      <c r="C8" s="31">
        <v>300</v>
      </c>
      <c r="D8" s="31">
        <v>-13000</v>
      </c>
      <c r="E8" s="31"/>
      <c r="F8" s="31"/>
      <c r="G8" s="31"/>
      <c r="H8" s="32"/>
    </row>
    <row r="9" spans="2:17" x14ac:dyDescent="0.25">
      <c r="B9" s="27" t="s">
        <v>79</v>
      </c>
      <c r="C9" s="33">
        <f>C6/C5</f>
        <v>0.22062735195695077</v>
      </c>
      <c r="D9" s="33">
        <f t="shared" ref="D9:H10" si="0">D6/D5</f>
        <v>0.23117069980379332</v>
      </c>
      <c r="E9" s="33">
        <f t="shared" si="0"/>
        <v>0.27546251217137291</v>
      </c>
      <c r="F9" s="33">
        <f t="shared" si="0"/>
        <v>0.27393897879384649</v>
      </c>
      <c r="G9" s="33">
        <f t="shared" si="0"/>
        <v>0.27664097079280514</v>
      </c>
      <c r="H9" s="34">
        <f t="shared" si="0"/>
        <v>0.21694805923266772</v>
      </c>
    </row>
    <row r="10" spans="2:17" x14ac:dyDescent="0.25">
      <c r="B10" s="27" t="s">
        <v>80</v>
      </c>
      <c r="C10" s="33">
        <f>C7/C6</f>
        <v>0.15011945108061558</v>
      </c>
      <c r="D10" s="33">
        <f t="shared" si="0"/>
        <v>0.92644146438069375</v>
      </c>
      <c r="E10" s="33">
        <f t="shared" si="0"/>
        <v>0.16477301418976922</v>
      </c>
      <c r="F10" s="33">
        <f t="shared" si="0"/>
        <v>0.19728068347572411</v>
      </c>
      <c r="G10" s="33">
        <f t="shared" si="0"/>
        <v>0.20619559402810875</v>
      </c>
      <c r="H10" s="34">
        <f t="shared" si="0"/>
        <v>0.10600478314265399</v>
      </c>
    </row>
    <row r="11" spans="2:17" ht="15.75" thickBot="1" x14ac:dyDescent="0.3">
      <c r="B11" s="35" t="s">
        <v>81</v>
      </c>
      <c r="C11" s="133">
        <f>(C7+C8)/C6</f>
        <v>0.16678704372465136</v>
      </c>
      <c r="D11" s="133">
        <f t="shared" ref="D11:H11" si="1">(D7+D8)/D6</f>
        <v>0.19085610818763085</v>
      </c>
      <c r="E11" s="133">
        <f t="shared" si="1"/>
        <v>0.16477301418976922</v>
      </c>
      <c r="F11" s="133">
        <f t="shared" si="1"/>
        <v>0.19728068347572411</v>
      </c>
      <c r="G11" s="133">
        <f t="shared" si="1"/>
        <v>0.20619559402810875</v>
      </c>
      <c r="H11" s="134">
        <f t="shared" si="1"/>
        <v>0.10600478314265399</v>
      </c>
    </row>
    <row r="12" spans="2:17" x14ac:dyDescent="0.25">
      <c r="B12" s="36" t="s">
        <v>82</v>
      </c>
    </row>
    <row r="13" spans="2:17" x14ac:dyDescent="0.25">
      <c r="B13" s="37"/>
    </row>
    <row r="14" spans="2:17" ht="29.25" customHeight="1" x14ac:dyDescent="0.25">
      <c r="B14" s="38"/>
      <c r="C14" s="39" t="s">
        <v>83</v>
      </c>
      <c r="D14" s="40">
        <v>2017</v>
      </c>
      <c r="E14" s="40">
        <v>2018</v>
      </c>
    </row>
    <row r="15" spans="2:17" x14ac:dyDescent="0.25">
      <c r="B15" s="41" t="s">
        <v>84</v>
      </c>
      <c r="C15" s="135">
        <f>AVERAGE(D11:H11)</f>
        <v>0.17302203660477739</v>
      </c>
      <c r="D15" s="135">
        <f>D11</f>
        <v>0.19085610818763085</v>
      </c>
      <c r="E15" s="136">
        <f>C11</f>
        <v>0.16678704372465136</v>
      </c>
    </row>
    <row r="16" spans="2:17" x14ac:dyDescent="0.25">
      <c r="B16" s="44" t="s">
        <v>85</v>
      </c>
      <c r="C16" s="45"/>
      <c r="D16" s="45"/>
      <c r="E16" s="46"/>
    </row>
    <row r="19" spans="2:17" ht="18.75" x14ac:dyDescent="0.3">
      <c r="B19" s="19" t="s">
        <v>8</v>
      </c>
      <c r="I19" s="21"/>
      <c r="J19" s="21"/>
      <c r="K19" s="21"/>
      <c r="L19" s="21"/>
      <c r="M19" s="21"/>
      <c r="N19" s="21"/>
      <c r="O19" s="21"/>
      <c r="P19" s="21"/>
      <c r="Q19" s="21"/>
    </row>
    <row r="20" spans="2:17" ht="15.75" thickBot="1" x14ac:dyDescent="0.3">
      <c r="B20" s="22"/>
      <c r="C20" s="22"/>
      <c r="D20" s="22"/>
      <c r="E20" s="22"/>
      <c r="F20" s="22"/>
      <c r="G20" s="22"/>
      <c r="H20" s="22"/>
    </row>
    <row r="21" spans="2:17" ht="15.75" thickBot="1" x14ac:dyDescent="0.3">
      <c r="B21" s="24"/>
      <c r="C21" s="25">
        <v>2018</v>
      </c>
      <c r="D21" s="25">
        <v>2017</v>
      </c>
      <c r="E21" s="25">
        <v>2016</v>
      </c>
      <c r="F21" s="25">
        <v>2015</v>
      </c>
      <c r="G21" s="25">
        <v>2014</v>
      </c>
      <c r="H21" s="26">
        <v>2013</v>
      </c>
    </row>
    <row r="22" spans="2:17" x14ac:dyDescent="0.25">
      <c r="B22" s="27" t="s">
        <v>75</v>
      </c>
      <c r="C22" s="28">
        <v>42294</v>
      </c>
      <c r="D22" s="28">
        <v>40122</v>
      </c>
      <c r="E22" s="28">
        <v>39807</v>
      </c>
      <c r="F22" s="28">
        <v>39498</v>
      </c>
      <c r="G22" s="28">
        <v>42237</v>
      </c>
      <c r="H22" s="29">
        <v>44033</v>
      </c>
    </row>
    <row r="23" spans="2:17" x14ac:dyDescent="0.25">
      <c r="B23" s="27" t="s">
        <v>76</v>
      </c>
      <c r="C23" s="28">
        <v>8701</v>
      </c>
      <c r="D23" s="28">
        <v>6521</v>
      </c>
      <c r="E23" s="28">
        <v>4659</v>
      </c>
      <c r="F23" s="28">
        <v>5401</v>
      </c>
      <c r="G23" s="28">
        <v>17283</v>
      </c>
      <c r="H23" s="29">
        <v>5545</v>
      </c>
    </row>
    <row r="24" spans="2:17" x14ac:dyDescent="0.25">
      <c r="B24" s="27" t="s">
        <v>77</v>
      </c>
      <c r="C24" s="28">
        <v>2508</v>
      </c>
      <c r="D24" s="28">
        <v>4103</v>
      </c>
      <c r="E24" s="28">
        <v>718</v>
      </c>
      <c r="F24" s="28">
        <v>942</v>
      </c>
      <c r="G24" s="28">
        <v>5349</v>
      </c>
      <c r="H24" s="29">
        <v>1028</v>
      </c>
    </row>
    <row r="25" spans="2:17" x14ac:dyDescent="0.25">
      <c r="B25" s="30" t="s">
        <v>78</v>
      </c>
      <c r="C25" s="31">
        <v>-289</v>
      </c>
      <c r="D25" s="31">
        <v>-2625</v>
      </c>
      <c r="E25" s="31"/>
      <c r="F25" s="31"/>
      <c r="G25" s="31"/>
      <c r="H25" s="32"/>
    </row>
    <row r="26" spans="2:17" x14ac:dyDescent="0.25">
      <c r="B26" s="27" t="s">
        <v>79</v>
      </c>
      <c r="C26" s="33">
        <f>C23/C22</f>
        <v>0.20572658060244953</v>
      </c>
      <c r="D26" s="33">
        <f t="shared" ref="D26:H27" si="2">D23/D22</f>
        <v>0.16252928567868002</v>
      </c>
      <c r="E26" s="33">
        <f t="shared" si="2"/>
        <v>0.11703971663275303</v>
      </c>
      <c r="F26" s="33">
        <f t="shared" si="2"/>
        <v>0.13674110081523116</v>
      </c>
      <c r="G26" s="33">
        <f t="shared" si="2"/>
        <v>0.40919099367852829</v>
      </c>
      <c r="H26" s="34">
        <f t="shared" si="2"/>
        <v>0.12592828106193082</v>
      </c>
    </row>
    <row r="27" spans="2:17" x14ac:dyDescent="0.25">
      <c r="B27" s="27" t="s">
        <v>80</v>
      </c>
      <c r="C27" s="33">
        <f>C24/C23</f>
        <v>0.28824273072060685</v>
      </c>
      <c r="D27" s="33">
        <f t="shared" si="2"/>
        <v>0.62919797577058734</v>
      </c>
      <c r="E27" s="33">
        <f t="shared" si="2"/>
        <v>0.15411032410388495</v>
      </c>
      <c r="F27" s="33">
        <f t="shared" si="2"/>
        <v>0.17441214589890761</v>
      </c>
      <c r="G27" s="33">
        <f t="shared" si="2"/>
        <v>0.309494879361222</v>
      </c>
      <c r="H27" s="34">
        <f t="shared" si="2"/>
        <v>0.18539224526600542</v>
      </c>
    </row>
    <row r="28" spans="2:17" ht="15.75" thickBot="1" x14ac:dyDescent="0.3">
      <c r="B28" s="35" t="s">
        <v>81</v>
      </c>
      <c r="C28" s="133">
        <f>(C24+C25)/C23</f>
        <v>0.25502815768302495</v>
      </c>
      <c r="D28" s="133">
        <f t="shared" ref="D28:H28" si="3">(D24+D25)/D23</f>
        <v>0.22665235393344579</v>
      </c>
      <c r="E28" s="133">
        <f t="shared" si="3"/>
        <v>0.15411032410388495</v>
      </c>
      <c r="F28" s="133">
        <f t="shared" si="3"/>
        <v>0.17441214589890761</v>
      </c>
      <c r="G28" s="133">
        <f t="shared" si="3"/>
        <v>0.309494879361222</v>
      </c>
      <c r="H28" s="134">
        <f t="shared" si="3"/>
        <v>0.18539224526600542</v>
      </c>
    </row>
    <row r="29" spans="2:17" x14ac:dyDescent="0.25">
      <c r="B29" s="36" t="s">
        <v>82</v>
      </c>
    </row>
    <row r="31" spans="2:17" ht="26.25" x14ac:dyDescent="0.25">
      <c r="B31" s="38"/>
      <c r="C31" s="39" t="s">
        <v>83</v>
      </c>
      <c r="D31" s="40">
        <v>2017</v>
      </c>
      <c r="E31" s="40">
        <v>2018</v>
      </c>
    </row>
    <row r="32" spans="2:17" x14ac:dyDescent="0.25">
      <c r="B32" s="41" t="s">
        <v>86</v>
      </c>
      <c r="C32" s="135">
        <f>AVERAGE(D28:H28)</f>
        <v>0.21001238971269318</v>
      </c>
      <c r="D32" s="135">
        <f>D28</f>
        <v>0.22665235393344579</v>
      </c>
      <c r="E32" s="136">
        <f>C28</f>
        <v>0.25502815768302495</v>
      </c>
    </row>
    <row r="33" spans="2:17" x14ac:dyDescent="0.25">
      <c r="B33" s="44" t="s">
        <v>85</v>
      </c>
    </row>
    <row r="38" spans="2:17" ht="18.75" x14ac:dyDescent="0.3">
      <c r="B38" s="19" t="s">
        <v>7</v>
      </c>
      <c r="I38" s="21"/>
      <c r="J38" s="21"/>
      <c r="K38" s="21"/>
      <c r="L38" s="21"/>
      <c r="M38" s="21"/>
      <c r="N38" s="21"/>
      <c r="O38" s="21"/>
      <c r="P38" s="21"/>
      <c r="Q38" s="21"/>
    </row>
    <row r="39" spans="2:17" ht="15.75" thickBot="1" x14ac:dyDescent="0.3">
      <c r="B39" s="22"/>
      <c r="C39" s="22"/>
      <c r="D39" s="22"/>
      <c r="E39" s="22"/>
      <c r="F39" s="22"/>
      <c r="G39" s="22"/>
      <c r="H39" s="22"/>
    </row>
    <row r="40" spans="2:17" ht="15.75" thickBot="1" x14ac:dyDescent="0.3">
      <c r="B40" s="24"/>
      <c r="C40" s="25">
        <v>2018</v>
      </c>
      <c r="D40" s="25">
        <v>2017</v>
      </c>
      <c r="E40" s="25">
        <v>2016</v>
      </c>
      <c r="F40" s="25">
        <v>2015</v>
      </c>
      <c r="G40" s="25">
        <v>2014</v>
      </c>
      <c r="H40" s="26">
        <v>2013</v>
      </c>
    </row>
    <row r="41" spans="2:17" x14ac:dyDescent="0.25">
      <c r="B41" s="27" t="s">
        <v>75</v>
      </c>
      <c r="C41" s="28">
        <v>53647</v>
      </c>
      <c r="D41" s="28">
        <v>52546</v>
      </c>
      <c r="E41" s="28">
        <v>52824</v>
      </c>
      <c r="F41" s="28">
        <v>48851</v>
      </c>
      <c r="G41" s="28">
        <v>49605</v>
      </c>
      <c r="H41" s="29">
        <v>51584</v>
      </c>
    </row>
    <row r="42" spans="2:17" x14ac:dyDescent="0.25">
      <c r="B42" s="27" t="s">
        <v>76</v>
      </c>
      <c r="C42" s="28">
        <v>11885</v>
      </c>
      <c r="D42" s="28">
        <v>12305</v>
      </c>
      <c r="E42" s="28">
        <v>8351</v>
      </c>
      <c r="F42" s="28">
        <v>8964</v>
      </c>
      <c r="G42" s="28">
        <v>12240</v>
      </c>
      <c r="H42" s="29">
        <v>15716</v>
      </c>
    </row>
    <row r="43" spans="2:17" x14ac:dyDescent="0.25">
      <c r="B43" s="27" t="s">
        <v>77</v>
      </c>
      <c r="C43" s="28">
        <v>706</v>
      </c>
      <c r="D43" s="28">
        <v>-9049</v>
      </c>
      <c r="E43" s="28">
        <v>1123</v>
      </c>
      <c r="F43" s="28">
        <v>1990</v>
      </c>
      <c r="G43" s="28">
        <v>3120</v>
      </c>
      <c r="H43" s="29">
        <v>4306</v>
      </c>
    </row>
    <row r="44" spans="2:17" x14ac:dyDescent="0.25">
      <c r="B44" s="30" t="s">
        <v>78</v>
      </c>
      <c r="C44" s="31">
        <v>596</v>
      </c>
      <c r="D44" s="31">
        <v>10660</v>
      </c>
      <c r="E44" s="31"/>
      <c r="F44" s="31"/>
      <c r="G44" s="31"/>
      <c r="H44" s="32"/>
    </row>
    <row r="45" spans="2:17" x14ac:dyDescent="0.25">
      <c r="B45" s="27" t="s">
        <v>79</v>
      </c>
      <c r="C45" s="33">
        <f>C42/C41</f>
        <v>0.22154081309299681</v>
      </c>
      <c r="D45" s="33">
        <f t="shared" ref="D45:H46" si="4">D42/D41</f>
        <v>0.23417576980169755</v>
      </c>
      <c r="E45" s="33">
        <f t="shared" si="4"/>
        <v>0.15809101923368166</v>
      </c>
      <c r="F45" s="33">
        <f t="shared" si="4"/>
        <v>0.18349675544001146</v>
      </c>
      <c r="G45" s="33">
        <f t="shared" si="4"/>
        <v>0.24674931962503779</v>
      </c>
      <c r="H45" s="34">
        <f t="shared" si="4"/>
        <v>0.30466811414392059</v>
      </c>
    </row>
    <row r="46" spans="2:17" x14ac:dyDescent="0.25">
      <c r="B46" s="27" t="s">
        <v>80</v>
      </c>
      <c r="C46" s="33">
        <f>C43/C42</f>
        <v>5.9402608329827515E-2</v>
      </c>
      <c r="D46" s="33">
        <f t="shared" si="4"/>
        <v>-0.73539211702559937</v>
      </c>
      <c r="E46" s="33">
        <f t="shared" si="4"/>
        <v>0.1344749131840498</v>
      </c>
      <c r="F46" s="33">
        <f t="shared" si="4"/>
        <v>0.22199910754127622</v>
      </c>
      <c r="G46" s="33">
        <f t="shared" si="4"/>
        <v>0.25490196078431371</v>
      </c>
      <c r="H46" s="34">
        <f t="shared" si="4"/>
        <v>0.27398829218630694</v>
      </c>
    </row>
    <row r="47" spans="2:17" ht="15.75" thickBot="1" x14ac:dyDescent="0.3">
      <c r="B47" s="35" t="s">
        <v>81</v>
      </c>
      <c r="C47" s="133">
        <f>(C43+C44)/C42</f>
        <v>0.10954985275557426</v>
      </c>
      <c r="D47" s="133">
        <f t="shared" ref="D47:H47" si="5">(D43+D44)/D42</f>
        <v>0.1309223892726534</v>
      </c>
      <c r="E47" s="133">
        <f t="shared" si="5"/>
        <v>0.1344749131840498</v>
      </c>
      <c r="F47" s="133">
        <f t="shared" si="5"/>
        <v>0.22199910754127622</v>
      </c>
      <c r="G47" s="133">
        <f t="shared" si="5"/>
        <v>0.25490196078431371</v>
      </c>
      <c r="H47" s="134">
        <f t="shared" si="5"/>
        <v>0.27398829218630694</v>
      </c>
    </row>
    <row r="48" spans="2:17" x14ac:dyDescent="0.25">
      <c r="B48" s="36" t="s">
        <v>82</v>
      </c>
    </row>
    <row r="50" spans="2:17" ht="26.25" x14ac:dyDescent="0.25">
      <c r="B50" s="38"/>
      <c r="C50" s="39" t="s">
        <v>83</v>
      </c>
      <c r="D50" s="40">
        <v>2017</v>
      </c>
      <c r="E50" s="40">
        <v>2018</v>
      </c>
    </row>
    <row r="51" spans="2:17" x14ac:dyDescent="0.25">
      <c r="B51" s="41" t="s">
        <v>87</v>
      </c>
      <c r="C51" s="135">
        <f>AVERAGE(D47:H47)</f>
        <v>0.20325733259372</v>
      </c>
      <c r="D51" s="135">
        <f>D47</f>
        <v>0.1309223892726534</v>
      </c>
      <c r="E51" s="136">
        <f>C47</f>
        <v>0.10954985275557426</v>
      </c>
    </row>
    <row r="52" spans="2:17" x14ac:dyDescent="0.25">
      <c r="B52" s="44" t="s">
        <v>85</v>
      </c>
    </row>
    <row r="58" spans="2:17" ht="18.75" x14ac:dyDescent="0.3">
      <c r="B58" s="19" t="s">
        <v>9</v>
      </c>
      <c r="I58" s="21"/>
      <c r="J58" s="21"/>
      <c r="K58" s="21"/>
      <c r="L58" s="21"/>
      <c r="M58" s="21"/>
      <c r="N58" s="21"/>
      <c r="O58" s="21"/>
      <c r="P58" s="21"/>
      <c r="Q58" s="21"/>
    </row>
    <row r="59" spans="2:17" ht="15.75" thickBot="1" x14ac:dyDescent="0.3">
      <c r="B59" s="22"/>
      <c r="C59" s="22"/>
      <c r="D59" s="22"/>
      <c r="E59" s="22"/>
      <c r="F59" s="22"/>
      <c r="G59" s="22"/>
      <c r="H59" s="22"/>
    </row>
    <row r="60" spans="2:17" ht="15.75" thickBot="1" x14ac:dyDescent="0.3">
      <c r="B60" s="24"/>
      <c r="C60" s="25">
        <v>2018</v>
      </c>
      <c r="D60" s="25">
        <v>2017</v>
      </c>
      <c r="E60" s="25">
        <v>2016</v>
      </c>
      <c r="F60" s="25">
        <v>2015</v>
      </c>
      <c r="G60" s="25">
        <v>2014</v>
      </c>
      <c r="H60" s="26">
        <v>2013</v>
      </c>
    </row>
    <row r="61" spans="2:17" x14ac:dyDescent="0.25">
      <c r="B61" s="27" t="s">
        <v>75</v>
      </c>
      <c r="C61" s="28">
        <v>30578</v>
      </c>
      <c r="D61" s="28">
        <v>27390</v>
      </c>
      <c r="E61" s="28">
        <v>20853</v>
      </c>
      <c r="F61" s="28">
        <v>20405</v>
      </c>
      <c r="G61" s="28">
        <v>20247</v>
      </c>
      <c r="H61" s="29">
        <v>19657</v>
      </c>
    </row>
    <row r="62" spans="2:17" x14ac:dyDescent="0.25">
      <c r="B62" s="27" t="s">
        <v>76</v>
      </c>
      <c r="C62" s="28">
        <v>2873</v>
      </c>
      <c r="D62" s="28">
        <v>2231</v>
      </c>
      <c r="E62" s="28">
        <v>1413</v>
      </c>
      <c r="F62" s="28">
        <v>3183</v>
      </c>
      <c r="G62" s="28">
        <v>2518</v>
      </c>
      <c r="H62" s="29">
        <v>2041</v>
      </c>
    </row>
    <row r="63" spans="2:17" x14ac:dyDescent="0.25">
      <c r="B63" s="27" t="s">
        <v>77</v>
      </c>
      <c r="C63" s="28">
        <v>539</v>
      </c>
      <c r="D63" s="28">
        <v>1878</v>
      </c>
      <c r="E63" s="28">
        <v>350</v>
      </c>
      <c r="F63" s="28">
        <v>577</v>
      </c>
      <c r="G63" s="28">
        <v>797</v>
      </c>
      <c r="H63" s="29">
        <v>53</v>
      </c>
    </row>
    <row r="64" spans="2:17" x14ac:dyDescent="0.25">
      <c r="B64" s="30" t="s">
        <v>78</v>
      </c>
      <c r="C64" s="31">
        <v>-130</v>
      </c>
      <c r="D64" s="31">
        <v>-1460</v>
      </c>
      <c r="E64" s="31"/>
      <c r="F64" s="31"/>
      <c r="G64" s="31"/>
      <c r="H64" s="32"/>
    </row>
    <row r="65" spans="2:14" x14ac:dyDescent="0.25">
      <c r="B65" s="27" t="s">
        <v>79</v>
      </c>
      <c r="C65" s="33">
        <f>C62/C61</f>
        <v>9.3956439270063447E-2</v>
      </c>
      <c r="D65" s="33">
        <f t="shared" ref="D65:H66" si="6">D62/D61</f>
        <v>8.1453085067542896E-2</v>
      </c>
      <c r="E65" s="33">
        <f t="shared" si="6"/>
        <v>6.7760034527406129E-2</v>
      </c>
      <c r="F65" s="33">
        <f t="shared" si="6"/>
        <v>0.15599117863268808</v>
      </c>
      <c r="G65" s="33">
        <f t="shared" si="6"/>
        <v>0.12436410332394923</v>
      </c>
      <c r="H65" s="34">
        <f t="shared" si="6"/>
        <v>0.10383069644401485</v>
      </c>
    </row>
    <row r="66" spans="2:14" x14ac:dyDescent="0.25">
      <c r="B66" s="27" t="s">
        <v>80</v>
      </c>
      <c r="C66" s="33">
        <f>C63/C62</f>
        <v>0.18760877131917855</v>
      </c>
      <c r="D66" s="33">
        <f t="shared" si="6"/>
        <v>0.84177498879426271</v>
      </c>
      <c r="E66" s="33">
        <f t="shared" si="6"/>
        <v>0.24769992922859166</v>
      </c>
      <c r="F66" s="33">
        <f t="shared" si="6"/>
        <v>0.18127552623311341</v>
      </c>
      <c r="G66" s="33">
        <f t="shared" si="6"/>
        <v>0.3165210484511517</v>
      </c>
      <c r="H66" s="34">
        <f t="shared" si="6"/>
        <v>2.5967662910338071E-2</v>
      </c>
    </row>
    <row r="67" spans="2:14" ht="15.75" thickBot="1" x14ac:dyDescent="0.3">
      <c r="B67" s="35" t="s">
        <v>81</v>
      </c>
      <c r="C67" s="133">
        <f>(C63+C64)/C62</f>
        <v>0.142359902540898</v>
      </c>
      <c r="D67" s="133">
        <f t="shared" ref="D67:H67" si="7">(D63+D64)/D62</f>
        <v>0.18735992828328105</v>
      </c>
      <c r="E67" s="133">
        <f t="shared" si="7"/>
        <v>0.24769992922859166</v>
      </c>
      <c r="F67" s="133">
        <f t="shared" si="7"/>
        <v>0.18127552623311341</v>
      </c>
      <c r="G67" s="133">
        <f t="shared" si="7"/>
        <v>0.3165210484511517</v>
      </c>
      <c r="H67" s="134">
        <f t="shared" si="7"/>
        <v>2.5967662910338071E-2</v>
      </c>
    </row>
    <row r="68" spans="2:14" x14ac:dyDescent="0.25">
      <c r="B68" s="36" t="s">
        <v>82</v>
      </c>
    </row>
    <row r="70" spans="2:14" ht="26.25" x14ac:dyDescent="0.25">
      <c r="B70" s="38"/>
      <c r="C70" s="39" t="s">
        <v>83</v>
      </c>
      <c r="D70" s="40">
        <v>2017</v>
      </c>
      <c r="E70" s="40">
        <v>2018</v>
      </c>
    </row>
    <row r="71" spans="2:14" x14ac:dyDescent="0.25">
      <c r="B71" s="41" t="s">
        <v>88</v>
      </c>
      <c r="C71" s="135">
        <f>AVERAGE(D67:H67)</f>
        <v>0.19176481902129516</v>
      </c>
      <c r="D71" s="135">
        <f>D67</f>
        <v>0.18735992828328105</v>
      </c>
      <c r="E71" s="136">
        <f>C67</f>
        <v>0.142359902540898</v>
      </c>
    </row>
    <row r="72" spans="2:14" x14ac:dyDescent="0.25">
      <c r="B72" s="44" t="s">
        <v>85</v>
      </c>
    </row>
    <row r="77" spans="2:14" ht="18.75" x14ac:dyDescent="0.3">
      <c r="B77" s="19" t="s">
        <v>89</v>
      </c>
      <c r="F77" s="21"/>
      <c r="G77" s="21"/>
      <c r="H77" s="21"/>
      <c r="I77" s="21"/>
      <c r="J77" s="21"/>
      <c r="K77" s="21"/>
      <c r="L77" s="21"/>
      <c r="M77" s="21"/>
      <c r="N77" s="21"/>
    </row>
    <row r="78" spans="2:14" x14ac:dyDescent="0.25">
      <c r="B78" s="47"/>
      <c r="C78" s="47"/>
      <c r="D78" s="47"/>
      <c r="E78" s="47"/>
    </row>
    <row r="79" spans="2:14" x14ac:dyDescent="0.25">
      <c r="B79" s="48"/>
      <c r="C79" s="176" t="s">
        <v>90</v>
      </c>
      <c r="D79" s="176"/>
      <c r="E79" s="176"/>
    </row>
    <row r="80" spans="2:14" ht="30" x14ac:dyDescent="0.25">
      <c r="B80" s="48"/>
      <c r="C80" s="49" t="s">
        <v>83</v>
      </c>
      <c r="D80" s="49">
        <v>2017</v>
      </c>
      <c r="E80" s="49">
        <v>2018</v>
      </c>
    </row>
    <row r="81" spans="2:5" x14ac:dyDescent="0.25">
      <c r="B81" s="50" t="s">
        <v>6</v>
      </c>
      <c r="C81" s="51">
        <f t="shared" ref="C81:D81" si="8">C15</f>
        <v>0.17302203660477739</v>
      </c>
      <c r="D81" s="51">
        <f t="shared" si="8"/>
        <v>0.19085610818763085</v>
      </c>
      <c r="E81" s="52">
        <f>E15</f>
        <v>0.16678704372465136</v>
      </c>
    </row>
    <row r="82" spans="2:5" x14ac:dyDescent="0.25">
      <c r="B82" s="50" t="s">
        <v>8</v>
      </c>
      <c r="C82" s="51">
        <f t="shared" ref="C82:D82" si="9">C32</f>
        <v>0.21001238971269318</v>
      </c>
      <c r="D82" s="51">
        <f t="shared" si="9"/>
        <v>0.22665235393344579</v>
      </c>
      <c r="E82" s="52">
        <f>E32</f>
        <v>0.25502815768302495</v>
      </c>
    </row>
    <row r="83" spans="2:5" x14ac:dyDescent="0.25">
      <c r="B83" s="50" t="s">
        <v>7</v>
      </c>
      <c r="C83" s="54">
        <f t="shared" ref="C83:D83" si="10">C51</f>
        <v>0.20325733259372</v>
      </c>
      <c r="D83" s="54">
        <f t="shared" si="10"/>
        <v>0.1309223892726534</v>
      </c>
      <c r="E83" s="55">
        <f>E51</f>
        <v>0.10954985275557426</v>
      </c>
    </row>
    <row r="84" spans="2:5" x14ac:dyDescent="0.25">
      <c r="B84" s="50" t="s">
        <v>9</v>
      </c>
      <c r="C84" s="56">
        <f t="shared" ref="C84:D84" si="11">C71</f>
        <v>0.19176481902129516</v>
      </c>
      <c r="D84" s="56">
        <f t="shared" si="11"/>
        <v>0.18735992828328105</v>
      </c>
      <c r="E84" s="57">
        <f>E71</f>
        <v>0.142359902540898</v>
      </c>
    </row>
  </sheetData>
  <sheetProtection sheet="1" objects="1" scenarios="1"/>
  <mergeCells count="1">
    <mergeCell ref="C79:E7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49"/>
  <sheetViews>
    <sheetView workbookViewId="0">
      <selection activeCell="D42" sqref="D42"/>
    </sheetView>
  </sheetViews>
  <sheetFormatPr defaultColWidth="8.875" defaultRowHeight="15" x14ac:dyDescent="0.25"/>
  <cols>
    <col min="1" max="1" width="22.875" style="20" customWidth="1"/>
    <col min="2" max="7" width="17" style="20" customWidth="1"/>
    <col min="8" max="16384" width="8.875" style="20"/>
  </cols>
  <sheetData>
    <row r="2" spans="1:8" ht="18.75" x14ac:dyDescent="0.3">
      <c r="A2" s="19" t="s">
        <v>91</v>
      </c>
      <c r="G2" s="21"/>
      <c r="H2" s="21"/>
    </row>
    <row r="3" spans="1:8" x14ac:dyDescent="0.25">
      <c r="A3" s="47"/>
      <c r="B3" s="47"/>
      <c r="C3" s="47"/>
      <c r="D3" s="47"/>
      <c r="E3" s="47"/>
      <c r="F3" s="47"/>
    </row>
    <row r="4" spans="1:8" x14ac:dyDescent="0.25">
      <c r="A4" s="58"/>
      <c r="B4" s="59">
        <v>2013</v>
      </c>
      <c r="C4" s="59">
        <v>2014</v>
      </c>
      <c r="D4" s="59">
        <v>2015</v>
      </c>
      <c r="E4" s="59">
        <v>2016</v>
      </c>
      <c r="F4" s="59">
        <v>2017</v>
      </c>
      <c r="G4" s="60">
        <v>2018</v>
      </c>
    </row>
    <row r="5" spans="1:8" ht="31.5" customHeight="1" x14ac:dyDescent="0.25">
      <c r="A5" s="61" t="s">
        <v>92</v>
      </c>
      <c r="B5" s="62">
        <v>594</v>
      </c>
      <c r="C5" s="62">
        <v>2625</v>
      </c>
      <c r="D5" s="62">
        <v>2748</v>
      </c>
      <c r="E5" s="62">
        <f>1896+49</f>
        <v>1945</v>
      </c>
      <c r="F5" s="62" t="s">
        <v>93</v>
      </c>
      <c r="G5" s="63">
        <f>1081+203</f>
        <v>1284</v>
      </c>
    </row>
    <row r="6" spans="1:8" ht="25.5" customHeight="1" x14ac:dyDescent="0.25">
      <c r="A6" s="61" t="s">
        <v>94</v>
      </c>
      <c r="B6" s="42">
        <v>0.35</v>
      </c>
      <c r="C6" s="42">
        <v>0.35</v>
      </c>
      <c r="D6" s="42">
        <v>0.35</v>
      </c>
      <c r="E6" s="42">
        <v>0.35</v>
      </c>
      <c r="F6" s="42">
        <v>0.35</v>
      </c>
      <c r="G6" s="43">
        <v>0.21</v>
      </c>
    </row>
    <row r="7" spans="1:8" ht="32.25" customHeight="1" thickBot="1" x14ac:dyDescent="0.3">
      <c r="A7" s="64" t="s">
        <v>95</v>
      </c>
      <c r="B7" s="62">
        <f>B5/B6</f>
        <v>1697.1428571428573</v>
      </c>
      <c r="C7" s="62">
        <f>C5/C6</f>
        <v>7500.0000000000009</v>
      </c>
      <c r="D7" s="62">
        <f>D5/D6</f>
        <v>7851.4285714285716</v>
      </c>
      <c r="E7" s="62">
        <f>E5/E6</f>
        <v>5557.1428571428578</v>
      </c>
      <c r="F7" s="62"/>
      <c r="G7" s="65">
        <f>G5/G6</f>
        <v>6114.2857142857147</v>
      </c>
    </row>
    <row r="8" spans="1:8" ht="15.75" thickTop="1" x14ac:dyDescent="0.25">
      <c r="A8" s="125" t="s">
        <v>96</v>
      </c>
    </row>
    <row r="9" spans="1:8" x14ac:dyDescent="0.25">
      <c r="A9" s="125" t="s">
        <v>97</v>
      </c>
    </row>
    <row r="10" spans="1:8" x14ac:dyDescent="0.25">
      <c r="A10" s="36"/>
    </row>
    <row r="12" spans="1:8" ht="18.75" x14ac:dyDescent="0.3">
      <c r="A12" s="19" t="s">
        <v>8</v>
      </c>
    </row>
    <row r="14" spans="1:8" x14ac:dyDescent="0.25">
      <c r="A14" s="58"/>
      <c r="B14" s="59">
        <v>2013</v>
      </c>
      <c r="C14" s="59">
        <v>2014</v>
      </c>
      <c r="D14" s="59">
        <v>2015</v>
      </c>
      <c r="E14" s="59">
        <v>2016</v>
      </c>
      <c r="F14" s="59">
        <v>2017</v>
      </c>
      <c r="G14" s="60">
        <v>2018</v>
      </c>
    </row>
    <row r="15" spans="1:8" ht="27.75" customHeight="1" x14ac:dyDescent="0.25">
      <c r="A15" s="61" t="s">
        <v>92</v>
      </c>
      <c r="B15" s="62">
        <v>568</v>
      </c>
      <c r="C15" s="62">
        <v>7136</v>
      </c>
      <c r="D15" s="62">
        <v>732</v>
      </c>
      <c r="E15" s="62">
        <v>1166</v>
      </c>
      <c r="F15" s="62" t="s">
        <v>93</v>
      </c>
      <c r="G15" s="63">
        <v>536</v>
      </c>
    </row>
    <row r="16" spans="1:8" ht="26.25" customHeight="1" x14ac:dyDescent="0.25">
      <c r="A16" s="61" t="s">
        <v>94</v>
      </c>
      <c r="B16" s="42">
        <v>0.35</v>
      </c>
      <c r="C16" s="42">
        <v>0.35</v>
      </c>
      <c r="D16" s="42">
        <v>0.35</v>
      </c>
      <c r="E16" s="42">
        <v>0.35</v>
      </c>
      <c r="F16" s="42">
        <v>0.35</v>
      </c>
      <c r="G16" s="43">
        <v>0.21</v>
      </c>
    </row>
    <row r="17" spans="1:7" ht="27.75" customHeight="1" thickBot="1" x14ac:dyDescent="0.3">
      <c r="A17" s="64" t="s">
        <v>95</v>
      </c>
      <c r="B17" s="62">
        <f>B15/B16</f>
        <v>1622.8571428571429</v>
      </c>
      <c r="C17" s="62">
        <f>C15/C16</f>
        <v>20388.571428571431</v>
      </c>
      <c r="D17" s="62">
        <f>D15/D16</f>
        <v>2091.4285714285716</v>
      </c>
      <c r="E17" s="62">
        <f>E15/E16</f>
        <v>3331.4285714285716</v>
      </c>
      <c r="F17" s="62"/>
      <c r="G17" s="65">
        <f>G15/G16</f>
        <v>2552.3809523809523</v>
      </c>
    </row>
    <row r="18" spans="1:7" ht="15.75" thickTop="1" x14ac:dyDescent="0.25">
      <c r="A18" s="125" t="s">
        <v>96</v>
      </c>
    </row>
    <row r="19" spans="1:7" x14ac:dyDescent="0.25">
      <c r="A19" s="125" t="s">
        <v>97</v>
      </c>
    </row>
    <row r="21" spans="1:7" ht="18.75" x14ac:dyDescent="0.3">
      <c r="A21" s="19" t="s">
        <v>7</v>
      </c>
    </row>
    <row r="23" spans="1:7" x14ac:dyDescent="0.25">
      <c r="A23" s="58"/>
      <c r="B23" s="59">
        <v>2013</v>
      </c>
      <c r="C23" s="59">
        <v>2014</v>
      </c>
      <c r="D23" s="59">
        <v>2015</v>
      </c>
      <c r="E23" s="59">
        <v>2016</v>
      </c>
      <c r="F23" s="59">
        <v>2017</v>
      </c>
      <c r="G23" s="60">
        <v>2018</v>
      </c>
    </row>
    <row r="24" spans="1:7" ht="27.75" customHeight="1" x14ac:dyDescent="0.25">
      <c r="A24" s="61" t="s">
        <v>92</v>
      </c>
      <c r="B24" s="62">
        <v>142</v>
      </c>
      <c r="C24" s="62">
        <v>393</v>
      </c>
      <c r="D24" s="62">
        <v>67</v>
      </c>
      <c r="E24" s="62">
        <v>342</v>
      </c>
      <c r="F24" s="62">
        <v>1267</v>
      </c>
      <c r="G24" s="63">
        <v>668</v>
      </c>
    </row>
    <row r="25" spans="1:7" ht="31.5" customHeight="1" x14ac:dyDescent="0.25">
      <c r="A25" s="61" t="s">
        <v>94</v>
      </c>
      <c r="B25" s="42">
        <v>0.35</v>
      </c>
      <c r="C25" s="42">
        <v>0.35</v>
      </c>
      <c r="D25" s="42">
        <v>0.35</v>
      </c>
      <c r="E25" s="42">
        <v>0.35</v>
      </c>
      <c r="F25" s="42">
        <v>0.35</v>
      </c>
      <c r="G25" s="43">
        <v>0.21</v>
      </c>
    </row>
    <row r="26" spans="1:7" ht="32.25" customHeight="1" thickBot="1" x14ac:dyDescent="0.3">
      <c r="A26" s="64" t="s">
        <v>95</v>
      </c>
      <c r="B26" s="62">
        <f t="shared" ref="B26:G26" si="0">B24/B25</f>
        <v>405.71428571428572</v>
      </c>
      <c r="C26" s="62">
        <f t="shared" si="0"/>
        <v>1122.8571428571429</v>
      </c>
      <c r="D26" s="62">
        <f t="shared" si="0"/>
        <v>191.42857142857144</v>
      </c>
      <c r="E26" s="62">
        <f t="shared" si="0"/>
        <v>977.14285714285722</v>
      </c>
      <c r="F26" s="62">
        <f t="shared" si="0"/>
        <v>3620.0000000000005</v>
      </c>
      <c r="G26" s="65">
        <f t="shared" si="0"/>
        <v>3180.9523809523812</v>
      </c>
    </row>
    <row r="27" spans="1:7" ht="15.75" thickTop="1" x14ac:dyDescent="0.25">
      <c r="A27" s="125" t="s">
        <v>96</v>
      </c>
    </row>
    <row r="28" spans="1:7" x14ac:dyDescent="0.25">
      <c r="A28" s="125" t="s">
        <v>97</v>
      </c>
    </row>
    <row r="30" spans="1:7" ht="18.75" x14ac:dyDescent="0.3">
      <c r="A30" s="19" t="s">
        <v>9</v>
      </c>
    </row>
    <row r="32" spans="1:7" x14ac:dyDescent="0.25">
      <c r="A32" s="58"/>
      <c r="B32" s="59">
        <v>2013</v>
      </c>
      <c r="C32" s="59">
        <v>2014</v>
      </c>
      <c r="D32" s="59">
        <v>2015</v>
      </c>
      <c r="E32" s="59">
        <v>2016</v>
      </c>
      <c r="F32" s="59">
        <v>2017</v>
      </c>
      <c r="G32" s="60">
        <v>2018</v>
      </c>
    </row>
    <row r="33" spans="1:8" ht="30.75" customHeight="1" x14ac:dyDescent="0.25">
      <c r="A33" s="61" t="s">
        <v>92</v>
      </c>
      <c r="B33" s="62">
        <v>4</v>
      </c>
      <c r="C33" s="62">
        <v>27</v>
      </c>
      <c r="D33" s="62">
        <v>64</v>
      </c>
      <c r="E33" s="62">
        <v>71</v>
      </c>
      <c r="F33" s="62" t="s">
        <v>93</v>
      </c>
      <c r="G33" s="63">
        <v>-812</v>
      </c>
    </row>
    <row r="34" spans="1:8" ht="28.5" customHeight="1" x14ac:dyDescent="0.25">
      <c r="A34" s="61" t="s">
        <v>94</v>
      </c>
      <c r="B34" s="42">
        <v>0.35</v>
      </c>
      <c r="C34" s="42">
        <v>0.35</v>
      </c>
      <c r="D34" s="42">
        <v>0.35</v>
      </c>
      <c r="E34" s="42">
        <v>0.35</v>
      </c>
      <c r="F34" s="42">
        <v>0.35</v>
      </c>
      <c r="G34" s="43">
        <v>0.21</v>
      </c>
    </row>
    <row r="35" spans="1:8" ht="28.5" customHeight="1" thickBot="1" x14ac:dyDescent="0.3">
      <c r="A35" s="64" t="s">
        <v>95</v>
      </c>
      <c r="B35" s="62">
        <f>B33/B34</f>
        <v>11.428571428571429</v>
      </c>
      <c r="C35" s="62">
        <f>C33/C34</f>
        <v>77.142857142857153</v>
      </c>
      <c r="D35" s="62">
        <f>D33/D34</f>
        <v>182.85714285714286</v>
      </c>
      <c r="E35" s="62">
        <f>E33/E34</f>
        <v>202.85714285714286</v>
      </c>
      <c r="F35" s="62"/>
      <c r="G35" s="65">
        <f>G33/G34</f>
        <v>-3866.666666666667</v>
      </c>
    </row>
    <row r="36" spans="1:8" ht="15.75" thickTop="1" x14ac:dyDescent="0.25">
      <c r="A36" s="125" t="s">
        <v>96</v>
      </c>
    </row>
    <row r="37" spans="1:8" x14ac:dyDescent="0.25">
      <c r="A37" s="125" t="s">
        <v>97</v>
      </c>
    </row>
    <row r="39" spans="1:8" ht="18.75" x14ac:dyDescent="0.3">
      <c r="A39" s="19" t="s">
        <v>89</v>
      </c>
      <c r="G39" s="21"/>
      <c r="H39" s="21"/>
    </row>
    <row r="41" spans="1:8" ht="52.5" customHeight="1" x14ac:dyDescent="0.25">
      <c r="A41" s="118"/>
      <c r="B41" s="119" t="s">
        <v>284</v>
      </c>
      <c r="C41" s="120" t="s">
        <v>98</v>
      </c>
      <c r="D41" s="119" t="s">
        <v>285</v>
      </c>
    </row>
    <row r="42" spans="1:8" ht="15.75" x14ac:dyDescent="0.25">
      <c r="A42" s="121" t="s">
        <v>6</v>
      </c>
      <c r="B42" s="122">
        <v>6114</v>
      </c>
      <c r="C42" s="123">
        <v>0.14000000000000001</v>
      </c>
      <c r="D42" s="122">
        <f>B42*C42</f>
        <v>855.96</v>
      </c>
    </row>
    <row r="43" spans="1:8" ht="15.75" x14ac:dyDescent="0.25">
      <c r="A43" s="121" t="s">
        <v>8</v>
      </c>
      <c r="B43" s="122">
        <v>2552</v>
      </c>
      <c r="C43" s="123">
        <v>0.14000000000000001</v>
      </c>
      <c r="D43" s="122">
        <f>B43*C43</f>
        <v>357.28000000000003</v>
      </c>
    </row>
    <row r="44" spans="1:8" ht="15.75" x14ac:dyDescent="0.25">
      <c r="A44" s="121" t="s">
        <v>7</v>
      </c>
      <c r="B44" s="122">
        <v>3181</v>
      </c>
      <c r="C44" s="123">
        <v>0.14000000000000001</v>
      </c>
      <c r="D44" s="122">
        <f>B44*C44</f>
        <v>445.34000000000003</v>
      </c>
    </row>
    <row r="45" spans="1:8" x14ac:dyDescent="0.25">
      <c r="A45" s="121" t="s">
        <v>9</v>
      </c>
      <c r="B45" s="124" t="s">
        <v>268</v>
      </c>
      <c r="C45" s="123">
        <v>0.14000000000000001</v>
      </c>
      <c r="D45" s="124" t="s">
        <v>268</v>
      </c>
    </row>
    <row r="46" spans="1:8" ht="15.75" x14ac:dyDescent="0.25">
      <c r="A46" s="121" t="s">
        <v>10</v>
      </c>
      <c r="B46" s="118"/>
      <c r="C46" s="118"/>
      <c r="D46" s="122">
        <f>SUM(D42:D44)</f>
        <v>1658.58</v>
      </c>
    </row>
    <row r="47" spans="1:8" ht="29.25" customHeight="1" x14ac:dyDescent="0.25">
      <c r="A47" s="125" t="s">
        <v>61</v>
      </c>
      <c r="B47" s="125"/>
      <c r="C47" s="125"/>
      <c r="D47" s="125"/>
      <c r="E47" s="125"/>
      <c r="F47" s="125"/>
      <c r="G47" s="125"/>
    </row>
    <row r="48" spans="1:8" ht="15" customHeight="1" x14ac:dyDescent="0.25">
      <c r="A48" s="125" t="s">
        <v>267</v>
      </c>
      <c r="B48" s="125"/>
      <c r="C48" s="125"/>
      <c r="D48" s="125"/>
      <c r="E48" s="125"/>
      <c r="F48" s="125"/>
      <c r="G48" s="125"/>
    </row>
    <row r="49" spans="1:7" x14ac:dyDescent="0.25">
      <c r="A49" s="125" t="s">
        <v>269</v>
      </c>
      <c r="B49" s="125"/>
      <c r="C49" s="125"/>
      <c r="D49" s="125"/>
      <c r="E49" s="125"/>
      <c r="F49" s="125"/>
      <c r="G49" s="125"/>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26"/>
  <sheetViews>
    <sheetView workbookViewId="0">
      <selection activeCell="G27" sqref="G27"/>
    </sheetView>
  </sheetViews>
  <sheetFormatPr defaultColWidth="8.875" defaultRowHeight="15" x14ac:dyDescent="0.25"/>
  <cols>
    <col min="1" max="4" width="8.875" style="20"/>
    <col min="5" max="5" width="11.5" style="20" customWidth="1"/>
    <col min="6" max="6" width="14.375" style="20" customWidth="1"/>
    <col min="7" max="7" width="16" style="20" customWidth="1"/>
    <col min="8" max="8" width="18.5" style="20" customWidth="1"/>
    <col min="9" max="16384" width="8.875" style="20"/>
  </cols>
  <sheetData>
    <row r="2" spans="2:8" ht="135" customHeight="1" x14ac:dyDescent="0.25">
      <c r="B2" s="48"/>
      <c r="C2" s="177" t="s">
        <v>99</v>
      </c>
      <c r="D2" s="177"/>
      <c r="E2" s="178"/>
      <c r="F2" s="179" t="s">
        <v>100</v>
      </c>
      <c r="G2" s="181" t="s">
        <v>101</v>
      </c>
      <c r="H2" s="66" t="s">
        <v>102</v>
      </c>
    </row>
    <row r="3" spans="2:8" x14ac:dyDescent="0.25">
      <c r="B3" s="48"/>
      <c r="C3" s="67">
        <v>2017</v>
      </c>
      <c r="D3" s="67">
        <v>2018</v>
      </c>
      <c r="E3" s="67" t="s">
        <v>10</v>
      </c>
      <c r="F3" s="180"/>
      <c r="G3" s="182"/>
      <c r="H3" s="66"/>
    </row>
    <row r="4" spans="2:8" ht="15.75" x14ac:dyDescent="0.25">
      <c r="B4" s="50" t="s">
        <v>6</v>
      </c>
      <c r="C4" s="53">
        <v>10100</v>
      </c>
      <c r="D4" s="68">
        <v>200</v>
      </c>
      <c r="E4" s="53">
        <f>C4+D4</f>
        <v>10300</v>
      </c>
      <c r="F4" s="69">
        <f>35/15.5</f>
        <v>2.2580645161290325</v>
      </c>
      <c r="G4" s="53">
        <f>E4*F4</f>
        <v>23258.064516129034</v>
      </c>
      <c r="H4" s="53">
        <f>G4-E4</f>
        <v>12958.064516129034</v>
      </c>
    </row>
    <row r="5" spans="2:8" ht="15.75" x14ac:dyDescent="0.25">
      <c r="B5" s="50" t="s">
        <v>8</v>
      </c>
      <c r="C5" s="53">
        <v>5300</v>
      </c>
      <c r="D5" s="53">
        <v>200</v>
      </c>
      <c r="E5" s="53">
        <f>C5+D5</f>
        <v>5500</v>
      </c>
      <c r="F5" s="69">
        <f>35/15.5</f>
        <v>2.2580645161290325</v>
      </c>
      <c r="G5" s="53">
        <f>E5*F5</f>
        <v>12419.354838709678</v>
      </c>
      <c r="H5" s="53">
        <f>G5-E5</f>
        <v>6919.354838709678</v>
      </c>
    </row>
    <row r="6" spans="2:8" ht="15.75" x14ac:dyDescent="0.25">
      <c r="B6" s="50" t="s">
        <v>7</v>
      </c>
      <c r="C6" s="53">
        <v>15200</v>
      </c>
      <c r="D6" s="53">
        <v>-200</v>
      </c>
      <c r="E6" s="53">
        <f>C6+D6</f>
        <v>15000</v>
      </c>
      <c r="F6" s="69">
        <f>35/15.5</f>
        <v>2.2580645161290325</v>
      </c>
      <c r="G6" s="53">
        <f>E6*F6</f>
        <v>33870.967741935485</v>
      </c>
      <c r="H6" s="53">
        <f>G6-E6</f>
        <v>18870.967741935485</v>
      </c>
    </row>
    <row r="7" spans="2:8" ht="15.75" x14ac:dyDescent="0.25">
      <c r="B7" s="50" t="s">
        <v>9</v>
      </c>
      <c r="C7" s="53">
        <v>2890</v>
      </c>
      <c r="D7" s="53">
        <v>120</v>
      </c>
      <c r="E7" s="53">
        <f>C7+D7</f>
        <v>3010</v>
      </c>
      <c r="F7" s="69">
        <f>35/15.5</f>
        <v>2.2580645161290325</v>
      </c>
      <c r="G7" s="53">
        <f>E7*F7</f>
        <v>6796.7741935483873</v>
      </c>
      <c r="H7" s="53">
        <f>G7-E7</f>
        <v>3786.7741935483873</v>
      </c>
    </row>
    <row r="8" spans="2:8" x14ac:dyDescent="0.25">
      <c r="B8" s="50" t="s">
        <v>10</v>
      </c>
      <c r="C8" s="70">
        <f>SUM(C4:C7)</f>
        <v>33490</v>
      </c>
      <c r="D8" s="70">
        <f>SUM(D4:D7)</f>
        <v>320</v>
      </c>
      <c r="E8" s="70">
        <f>SUM(E4:E7)</f>
        <v>33810</v>
      </c>
      <c r="F8" s="48"/>
      <c r="G8" s="70">
        <f>SUM(G4:G7)</f>
        <v>76345.161290322591</v>
      </c>
      <c r="H8" s="70">
        <f>SUM(H4:H7)</f>
        <v>42535.161290322583</v>
      </c>
    </row>
    <row r="10" spans="2:8" x14ac:dyDescent="0.25">
      <c r="B10" s="36" t="s">
        <v>103</v>
      </c>
    </row>
    <row r="11" spans="2:8" x14ac:dyDescent="0.25">
      <c r="B11" s="36" t="s">
        <v>104</v>
      </c>
    </row>
    <row r="12" spans="2:8" x14ac:dyDescent="0.25">
      <c r="B12" s="36" t="s">
        <v>105</v>
      </c>
    </row>
    <row r="15" spans="2:8" ht="15.75" thickBot="1" x14ac:dyDescent="0.3"/>
    <row r="16" spans="2:8" ht="149.25" customHeight="1" thickBot="1" x14ac:dyDescent="0.3">
      <c r="B16" s="101"/>
      <c r="C16" s="126" t="s">
        <v>271</v>
      </c>
      <c r="D16" s="127" t="s">
        <v>274</v>
      </c>
      <c r="E16" s="100" t="s">
        <v>272</v>
      </c>
      <c r="F16" s="100" t="s">
        <v>273</v>
      </c>
    </row>
    <row r="17" spans="2:14" ht="15.75" thickBot="1" x14ac:dyDescent="0.3">
      <c r="B17" s="129" t="s">
        <v>6</v>
      </c>
      <c r="C17" s="11">
        <v>10300</v>
      </c>
      <c r="D17" s="11">
        <v>23258</v>
      </c>
      <c r="E17" s="11">
        <v>12958</v>
      </c>
      <c r="F17" s="11">
        <v>1620</v>
      </c>
    </row>
    <row r="18" spans="2:14" ht="15.75" thickBot="1" x14ac:dyDescent="0.3">
      <c r="B18" s="9" t="s">
        <v>8</v>
      </c>
      <c r="C18" s="11">
        <v>5500</v>
      </c>
      <c r="D18" s="11">
        <v>12419</v>
      </c>
      <c r="E18" s="11">
        <v>6919</v>
      </c>
      <c r="F18" s="10">
        <v>865</v>
      </c>
    </row>
    <row r="19" spans="2:14" ht="15.75" thickBot="1" x14ac:dyDescent="0.3">
      <c r="B19" s="9" t="s">
        <v>7</v>
      </c>
      <c r="C19" s="11">
        <v>15000</v>
      </c>
      <c r="D19" s="11">
        <v>33871</v>
      </c>
      <c r="E19" s="11">
        <v>18871</v>
      </c>
      <c r="F19" s="11">
        <v>2359</v>
      </c>
    </row>
    <row r="20" spans="2:14" ht="15.75" thickBot="1" x14ac:dyDescent="0.3">
      <c r="B20" s="9" t="s">
        <v>9</v>
      </c>
      <c r="C20" s="11">
        <v>3010</v>
      </c>
      <c r="D20" s="11">
        <v>6797</v>
      </c>
      <c r="E20" s="11">
        <v>3787</v>
      </c>
      <c r="F20" s="10">
        <v>473</v>
      </c>
    </row>
    <row r="21" spans="2:14" ht="15.75" thickBot="1" x14ac:dyDescent="0.3">
      <c r="B21" s="128" t="s">
        <v>270</v>
      </c>
      <c r="C21" s="11">
        <v>30810</v>
      </c>
      <c r="D21" s="11">
        <v>76345</v>
      </c>
      <c r="E21" s="12">
        <v>42535</v>
      </c>
      <c r="F21" s="12">
        <v>5317</v>
      </c>
    </row>
    <row r="22" spans="2:14" x14ac:dyDescent="0.25">
      <c r="B22" s="125" t="s">
        <v>61</v>
      </c>
    </row>
    <row r="26" spans="2:14" x14ac:dyDescent="0.25">
      <c r="K26" s="183" t="s">
        <v>99</v>
      </c>
      <c r="L26" s="177"/>
      <c r="M26" s="177"/>
      <c r="N26" s="178"/>
    </row>
  </sheetData>
  <sheetProtection sheet="1" objects="1" scenarios="1"/>
  <mergeCells count="4">
    <mergeCell ref="C2:E2"/>
    <mergeCell ref="F2:F3"/>
    <mergeCell ref="G2:G3"/>
    <mergeCell ref="K26:N26"/>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U98"/>
  <sheetViews>
    <sheetView workbookViewId="0">
      <selection activeCell="F120" sqref="F120"/>
    </sheetView>
  </sheetViews>
  <sheetFormatPr defaultColWidth="8.875" defaultRowHeight="15" x14ac:dyDescent="0.25"/>
  <cols>
    <col min="1" max="1" width="3.5" style="20" customWidth="1"/>
    <col min="2" max="2" width="20.375" style="20" customWidth="1"/>
    <col min="3" max="3" width="16.125" style="20" customWidth="1"/>
    <col min="4" max="4" width="15" style="20" customWidth="1"/>
    <col min="5" max="5" width="13.5" style="20" customWidth="1"/>
    <col min="6" max="6" width="13.125" style="20" customWidth="1"/>
    <col min="7" max="7" width="13.625" style="20" customWidth="1"/>
    <col min="8" max="8" width="13.5" style="20" customWidth="1"/>
    <col min="9" max="9" width="12" style="20" customWidth="1"/>
    <col min="10" max="10" width="8.875" style="20"/>
    <col min="11" max="11" width="12.875" style="20" customWidth="1"/>
    <col min="12" max="13" width="8.875" style="20"/>
    <col min="14" max="14" width="13" style="20" customWidth="1"/>
    <col min="15" max="16" width="8.875" style="20"/>
    <col min="17" max="17" width="12.5" style="20" customWidth="1"/>
    <col min="18" max="18" width="10.625" style="20" customWidth="1"/>
    <col min="19" max="19" width="11.375" style="20" customWidth="1"/>
    <col min="20" max="20" width="13.375" style="20" customWidth="1"/>
    <col min="21" max="16384" width="8.875" style="20"/>
  </cols>
  <sheetData>
    <row r="2" spans="2:21" ht="18.75" x14ac:dyDescent="0.3">
      <c r="B2" s="19" t="s">
        <v>91</v>
      </c>
      <c r="H2" s="21"/>
      <c r="I2" s="21"/>
      <c r="J2" s="21"/>
      <c r="K2" s="21"/>
      <c r="L2" s="21"/>
      <c r="M2" s="21"/>
      <c r="N2" s="21"/>
      <c r="O2" s="21"/>
      <c r="P2" s="21"/>
      <c r="Q2" s="21"/>
      <c r="R2" s="21"/>
      <c r="S2" s="21"/>
      <c r="T2" s="21"/>
      <c r="U2" s="21"/>
    </row>
    <row r="3" spans="2:21" ht="15.75" thickBot="1" x14ac:dyDescent="0.3">
      <c r="B3" s="22"/>
      <c r="C3" s="22"/>
      <c r="D3" s="22"/>
      <c r="E3" s="22"/>
      <c r="F3" s="22"/>
      <c r="G3" s="22"/>
      <c r="H3" s="23"/>
    </row>
    <row r="4" spans="2:21" ht="15.75" thickBot="1" x14ac:dyDescent="0.3">
      <c r="B4" s="23"/>
      <c r="C4" s="187">
        <v>2018</v>
      </c>
      <c r="D4" s="188"/>
      <c r="E4" s="189"/>
      <c r="F4" s="190">
        <v>2017</v>
      </c>
      <c r="G4" s="191"/>
      <c r="H4" s="192"/>
      <c r="I4" s="187">
        <v>2016</v>
      </c>
      <c r="J4" s="188"/>
      <c r="K4" s="189"/>
      <c r="L4" s="193">
        <v>2015</v>
      </c>
      <c r="M4" s="194"/>
      <c r="N4" s="195"/>
      <c r="O4" s="187">
        <v>2014</v>
      </c>
      <c r="P4" s="188"/>
      <c r="Q4" s="189"/>
      <c r="R4" s="184">
        <v>2013</v>
      </c>
      <c r="S4" s="185"/>
      <c r="T4" s="186"/>
    </row>
    <row r="5" spans="2:21" ht="15.75" thickBot="1" x14ac:dyDescent="0.3">
      <c r="B5" s="24"/>
      <c r="C5" s="25" t="s">
        <v>106</v>
      </c>
      <c r="D5" s="71" t="s">
        <v>107</v>
      </c>
      <c r="E5" s="72" t="s">
        <v>108</v>
      </c>
      <c r="F5" s="73" t="s">
        <v>106</v>
      </c>
      <c r="G5" s="71" t="s">
        <v>107</v>
      </c>
      <c r="H5" s="71" t="s">
        <v>108</v>
      </c>
      <c r="I5" s="25" t="s">
        <v>106</v>
      </c>
      <c r="J5" s="71" t="s">
        <v>107</v>
      </c>
      <c r="K5" s="72" t="s">
        <v>108</v>
      </c>
      <c r="L5" s="74" t="s">
        <v>106</v>
      </c>
      <c r="M5" s="71" t="s">
        <v>107</v>
      </c>
      <c r="N5" s="72" t="s">
        <v>108</v>
      </c>
      <c r="O5" s="25" t="s">
        <v>106</v>
      </c>
      <c r="P5" s="71" t="s">
        <v>107</v>
      </c>
      <c r="Q5" s="72" t="s">
        <v>108</v>
      </c>
      <c r="R5" s="25" t="s">
        <v>106</v>
      </c>
      <c r="S5" s="71" t="s">
        <v>107</v>
      </c>
      <c r="T5" s="72" t="s">
        <v>108</v>
      </c>
    </row>
    <row r="6" spans="2:21" x14ac:dyDescent="0.25">
      <c r="B6" s="27" t="s">
        <v>75</v>
      </c>
      <c r="C6" s="28">
        <v>81581</v>
      </c>
      <c r="D6" s="75">
        <v>41884</v>
      </c>
      <c r="E6" s="76">
        <f>+C6-D6</f>
        <v>39697</v>
      </c>
      <c r="F6" s="75">
        <v>76450</v>
      </c>
      <c r="G6" s="75">
        <f>5565+21474+12824</f>
        <v>39863</v>
      </c>
      <c r="H6" s="75">
        <f>+F6-G6</f>
        <v>36587</v>
      </c>
      <c r="I6" s="28">
        <v>71890</v>
      </c>
      <c r="J6" s="75">
        <f>5420+20125+12266</f>
        <v>37811</v>
      </c>
      <c r="K6" s="76">
        <f>+I6-J6</f>
        <v>34079</v>
      </c>
      <c r="L6" s="77">
        <v>70074</v>
      </c>
      <c r="M6" s="78">
        <v>35687</v>
      </c>
      <c r="N6" s="79">
        <v>34387</v>
      </c>
      <c r="O6" s="28">
        <v>74331</v>
      </c>
      <c r="P6" s="75">
        <f>5096+17432+12254</f>
        <v>34782</v>
      </c>
      <c r="Q6" s="76">
        <f>+O6-P6</f>
        <v>39549</v>
      </c>
      <c r="R6" s="28">
        <v>71312</v>
      </c>
      <c r="S6" s="75">
        <f>5162+13948+12800</f>
        <v>31910</v>
      </c>
      <c r="T6" s="76">
        <f>+R6-S6</f>
        <v>39402</v>
      </c>
    </row>
    <row r="7" spans="2:21" ht="15.75" thickBot="1" x14ac:dyDescent="0.3">
      <c r="B7" s="27" t="s">
        <v>109</v>
      </c>
      <c r="C7" s="28">
        <v>17999</v>
      </c>
      <c r="D7" s="75">
        <v>5575</v>
      </c>
      <c r="E7" s="76">
        <v>12424</v>
      </c>
      <c r="F7" s="75">
        <v>17673</v>
      </c>
      <c r="G7" s="75">
        <v>4865</v>
      </c>
      <c r="H7" s="75">
        <f>+F7-G7</f>
        <v>12808</v>
      </c>
      <c r="I7" s="28">
        <v>19803</v>
      </c>
      <c r="J7" s="75">
        <v>7457</v>
      </c>
      <c r="K7" s="76">
        <f>+I7-J7</f>
        <v>12346</v>
      </c>
      <c r="L7" s="77">
        <v>19196</v>
      </c>
      <c r="M7" s="78">
        <v>8179</v>
      </c>
      <c r="N7" s="79">
        <v>11017</v>
      </c>
      <c r="O7" s="28">
        <v>20563</v>
      </c>
      <c r="P7" s="75">
        <v>8001</v>
      </c>
      <c r="Q7" s="76">
        <f>+O7-P7</f>
        <v>12562</v>
      </c>
      <c r="R7" s="28">
        <v>15471</v>
      </c>
      <c r="S7" s="75">
        <v>4261</v>
      </c>
      <c r="T7" s="76">
        <f>+R7-S7</f>
        <v>11210</v>
      </c>
    </row>
    <row r="8" spans="2:21" ht="15.75" thickBot="1" x14ac:dyDescent="0.3">
      <c r="B8" s="80" t="s">
        <v>110</v>
      </c>
      <c r="C8" s="81">
        <f t="shared" ref="C8:T8" si="0">C7/C6</f>
        <v>0.22062735195695077</v>
      </c>
      <c r="D8" s="82">
        <f t="shared" si="0"/>
        <v>0.13310572056155096</v>
      </c>
      <c r="E8" s="83">
        <f t="shared" si="0"/>
        <v>0.31297075345744013</v>
      </c>
      <c r="F8" s="81">
        <f t="shared" si="0"/>
        <v>0.23117069980379332</v>
      </c>
      <c r="G8" s="82">
        <f t="shared" si="0"/>
        <v>0.12204299726563481</v>
      </c>
      <c r="H8" s="83">
        <f t="shared" si="0"/>
        <v>0.35006969688687239</v>
      </c>
      <c r="I8" s="81">
        <f t="shared" si="0"/>
        <v>0.27546251217137291</v>
      </c>
      <c r="J8" s="82">
        <f t="shared" si="0"/>
        <v>0.19721774086905927</v>
      </c>
      <c r="K8" s="83">
        <f t="shared" si="0"/>
        <v>0.36227588837700636</v>
      </c>
      <c r="L8" s="82">
        <f t="shared" si="0"/>
        <v>0.27393897879384649</v>
      </c>
      <c r="M8" s="82">
        <f t="shared" si="0"/>
        <v>0.2291870989435929</v>
      </c>
      <c r="N8" s="82">
        <f t="shared" si="0"/>
        <v>0.32038270276558001</v>
      </c>
      <c r="O8" s="81">
        <f t="shared" si="0"/>
        <v>0.27664097079280514</v>
      </c>
      <c r="P8" s="82">
        <f t="shared" si="0"/>
        <v>0.23003277557357255</v>
      </c>
      <c r="Q8" s="83">
        <f t="shared" si="0"/>
        <v>0.31763129282662012</v>
      </c>
      <c r="R8" s="82">
        <f t="shared" si="0"/>
        <v>0.21694805923266772</v>
      </c>
      <c r="S8" s="82">
        <f t="shared" si="0"/>
        <v>0.1335318082105923</v>
      </c>
      <c r="T8" s="83">
        <f t="shared" si="0"/>
        <v>0.28450332470432971</v>
      </c>
    </row>
    <row r="9" spans="2:21" x14ac:dyDescent="0.25">
      <c r="B9" s="44" t="s">
        <v>111</v>
      </c>
      <c r="C9" s="45"/>
      <c r="D9" s="45"/>
      <c r="E9" s="46"/>
    </row>
    <row r="10" spans="2:21" x14ac:dyDescent="0.25">
      <c r="B10" s="44"/>
      <c r="C10" s="45"/>
      <c r="D10" s="45"/>
      <c r="E10" s="46"/>
    </row>
    <row r="11" spans="2:21" x14ac:dyDescent="0.25">
      <c r="B11" s="84" t="s">
        <v>112</v>
      </c>
      <c r="C11" s="45"/>
      <c r="D11" s="45"/>
      <c r="E11" s="46"/>
    </row>
    <row r="12" spans="2:21" x14ac:dyDescent="0.25">
      <c r="B12" s="85"/>
      <c r="C12" s="59">
        <v>2015</v>
      </c>
      <c r="D12" s="59">
        <v>2016</v>
      </c>
      <c r="E12" s="59">
        <v>2017</v>
      </c>
      <c r="F12" s="60">
        <v>2018</v>
      </c>
    </row>
    <row r="13" spans="2:21" x14ac:dyDescent="0.25">
      <c r="B13" s="41" t="s">
        <v>107</v>
      </c>
      <c r="C13" s="42">
        <f>M8</f>
        <v>0.2291870989435929</v>
      </c>
      <c r="D13" s="42">
        <f>J8</f>
        <v>0.19721774086905927</v>
      </c>
      <c r="E13" s="42">
        <f>G8</f>
        <v>0.12204299726563481</v>
      </c>
      <c r="F13" s="42">
        <f>D8</f>
        <v>0.13310572056155096</v>
      </c>
    </row>
    <row r="14" spans="2:21" x14ac:dyDescent="0.25">
      <c r="B14" s="41" t="s">
        <v>108</v>
      </c>
      <c r="C14" s="42">
        <f>N8</f>
        <v>0.32038270276558001</v>
      </c>
      <c r="D14" s="42">
        <f>K8</f>
        <v>0.36227588837700636</v>
      </c>
      <c r="E14" s="42">
        <f>H8</f>
        <v>0.35006969688687239</v>
      </c>
      <c r="F14" s="42">
        <f>E8</f>
        <v>0.31297075345744013</v>
      </c>
    </row>
    <row r="15" spans="2:21" x14ac:dyDescent="0.25">
      <c r="B15" s="41" t="s">
        <v>106</v>
      </c>
      <c r="C15" s="42">
        <f>L8</f>
        <v>0.27393897879384649</v>
      </c>
      <c r="D15" s="42">
        <f>I8</f>
        <v>0.27546251217137291</v>
      </c>
      <c r="E15" s="42">
        <f>F8</f>
        <v>0.23117069980379332</v>
      </c>
      <c r="F15" s="42">
        <f>C8</f>
        <v>0.22062735195695077</v>
      </c>
    </row>
    <row r="16" spans="2:21" x14ac:dyDescent="0.25">
      <c r="B16" s="44"/>
      <c r="C16" s="45"/>
      <c r="D16" s="45"/>
      <c r="E16" s="46"/>
    </row>
    <row r="30" spans="2:21" ht="18.75" x14ac:dyDescent="0.3">
      <c r="B30" s="19" t="s">
        <v>8</v>
      </c>
      <c r="H30" s="21"/>
      <c r="I30" s="21"/>
      <c r="J30" s="21"/>
      <c r="K30" s="21"/>
      <c r="L30" s="21"/>
      <c r="M30" s="21"/>
      <c r="N30" s="21"/>
      <c r="O30" s="21"/>
      <c r="P30" s="21"/>
      <c r="Q30" s="21"/>
      <c r="R30" s="21"/>
      <c r="S30" s="21"/>
      <c r="T30" s="21"/>
      <c r="U30" s="21"/>
    </row>
    <row r="31" spans="2:21" ht="15.75" thickBot="1" x14ac:dyDescent="0.3">
      <c r="B31" s="22"/>
      <c r="C31" s="22"/>
      <c r="D31" s="22"/>
      <c r="E31" s="22"/>
      <c r="F31" s="22"/>
      <c r="G31" s="22"/>
      <c r="H31" s="23"/>
    </row>
    <row r="32" spans="2:21" ht="15.75" thickBot="1" x14ac:dyDescent="0.3">
      <c r="B32" s="23"/>
      <c r="C32" s="187">
        <v>2018</v>
      </c>
      <c r="D32" s="188"/>
      <c r="E32" s="189"/>
      <c r="F32" s="190">
        <v>2017</v>
      </c>
      <c r="G32" s="191"/>
      <c r="H32" s="192"/>
      <c r="I32" s="187">
        <v>2016</v>
      </c>
      <c r="J32" s="188"/>
      <c r="K32" s="189"/>
      <c r="L32" s="193">
        <v>2015</v>
      </c>
      <c r="M32" s="194"/>
      <c r="N32" s="195"/>
      <c r="O32" s="187">
        <v>2014</v>
      </c>
      <c r="P32" s="188"/>
      <c r="Q32" s="189"/>
      <c r="R32" s="184">
        <v>2013</v>
      </c>
      <c r="S32" s="185"/>
      <c r="T32" s="186"/>
    </row>
    <row r="33" spans="2:20" ht="15.75" thickBot="1" x14ac:dyDescent="0.3">
      <c r="B33" s="24"/>
      <c r="C33" s="25" t="s">
        <v>106</v>
      </c>
      <c r="D33" s="71" t="s">
        <v>107</v>
      </c>
      <c r="E33" s="72" t="s">
        <v>108</v>
      </c>
      <c r="F33" s="73" t="s">
        <v>106</v>
      </c>
      <c r="G33" s="71" t="s">
        <v>107</v>
      </c>
      <c r="H33" s="71" t="s">
        <v>108</v>
      </c>
      <c r="I33" s="25" t="s">
        <v>106</v>
      </c>
      <c r="J33" s="71" t="s">
        <v>107</v>
      </c>
      <c r="K33" s="72" t="s">
        <v>108</v>
      </c>
      <c r="L33" s="74" t="s">
        <v>106</v>
      </c>
      <c r="M33" s="71" t="s">
        <v>107</v>
      </c>
      <c r="N33" s="72" t="s">
        <v>108</v>
      </c>
      <c r="O33" s="25" t="s">
        <v>106</v>
      </c>
      <c r="P33" s="71" t="s">
        <v>107</v>
      </c>
      <c r="Q33" s="72" t="s">
        <v>108</v>
      </c>
      <c r="R33" s="25" t="s">
        <v>106</v>
      </c>
      <c r="S33" s="71" t="s">
        <v>107</v>
      </c>
      <c r="T33" s="72" t="s">
        <v>108</v>
      </c>
    </row>
    <row r="34" spans="2:20" x14ac:dyDescent="0.25">
      <c r="B34" s="27" t="s">
        <v>75</v>
      </c>
      <c r="C34" s="28">
        <v>42294</v>
      </c>
      <c r="D34" s="75">
        <v>18212</v>
      </c>
      <c r="E34" s="76">
        <v>24082</v>
      </c>
      <c r="F34" s="75">
        <v>40122</v>
      </c>
      <c r="G34" s="75">
        <v>17424</v>
      </c>
      <c r="H34" s="75">
        <v>22698</v>
      </c>
      <c r="I34" s="28">
        <v>39807</v>
      </c>
      <c r="J34" s="75">
        <v>18478</v>
      </c>
      <c r="K34" s="76">
        <v>21329</v>
      </c>
      <c r="L34" s="77">
        <v>39498</v>
      </c>
      <c r="M34" s="78">
        <v>17519</v>
      </c>
      <c r="N34" s="79">
        <v>21979</v>
      </c>
      <c r="O34" s="28">
        <v>42237</v>
      </c>
      <c r="P34" s="75">
        <v>17071</v>
      </c>
      <c r="Q34" s="76">
        <v>25166</v>
      </c>
      <c r="R34" s="28">
        <v>44033</v>
      </c>
      <c r="S34" s="75">
        <v>18246</v>
      </c>
      <c r="T34" s="76">
        <v>25787</v>
      </c>
    </row>
    <row r="35" spans="2:20" ht="15.75" thickBot="1" x14ac:dyDescent="0.3">
      <c r="B35" s="27" t="s">
        <v>109</v>
      </c>
      <c r="C35" s="28">
        <v>8701</v>
      </c>
      <c r="D35" s="75">
        <v>3717</v>
      </c>
      <c r="E35" s="76">
        <v>4984</v>
      </c>
      <c r="F35" s="75">
        <v>6521</v>
      </c>
      <c r="G35" s="75">
        <v>3483</v>
      </c>
      <c r="H35" s="75">
        <v>3038</v>
      </c>
      <c r="I35" s="28">
        <v>4659</v>
      </c>
      <c r="J35" s="75">
        <v>518</v>
      </c>
      <c r="K35" s="76">
        <v>4141</v>
      </c>
      <c r="L35" s="77">
        <v>5401</v>
      </c>
      <c r="M35" s="78">
        <v>2247</v>
      </c>
      <c r="N35" s="79">
        <v>3154</v>
      </c>
      <c r="O35" s="28">
        <v>17283</v>
      </c>
      <c r="P35" s="75">
        <v>15730</v>
      </c>
      <c r="Q35" s="76">
        <v>1553</v>
      </c>
      <c r="R35" s="28">
        <v>5545</v>
      </c>
      <c r="S35" s="75">
        <v>3513</v>
      </c>
      <c r="T35" s="76">
        <v>2032</v>
      </c>
    </row>
    <row r="36" spans="2:20" ht="15.75" thickBot="1" x14ac:dyDescent="0.3">
      <c r="B36" s="80" t="s">
        <v>110</v>
      </c>
      <c r="C36" s="81">
        <f t="shared" ref="C36:T36" si="1">C35/C34</f>
        <v>0.20572658060244953</v>
      </c>
      <c r="D36" s="82">
        <f t="shared" si="1"/>
        <v>0.20409620030748957</v>
      </c>
      <c r="E36" s="83">
        <f t="shared" si="1"/>
        <v>0.206959554854248</v>
      </c>
      <c r="F36" s="81">
        <f t="shared" si="1"/>
        <v>0.16252928567868002</v>
      </c>
      <c r="G36" s="82">
        <f t="shared" si="1"/>
        <v>0.19989669421487602</v>
      </c>
      <c r="H36" s="83">
        <f t="shared" si="1"/>
        <v>0.13384439157635034</v>
      </c>
      <c r="I36" s="81">
        <f t="shared" si="1"/>
        <v>0.11703971663275303</v>
      </c>
      <c r="J36" s="82">
        <f t="shared" si="1"/>
        <v>2.8033336941227404E-2</v>
      </c>
      <c r="K36" s="83">
        <f t="shared" si="1"/>
        <v>0.19414881147733135</v>
      </c>
      <c r="L36" s="82">
        <f t="shared" si="1"/>
        <v>0.13674110081523116</v>
      </c>
      <c r="M36" s="82">
        <f t="shared" si="1"/>
        <v>0.12826074547633998</v>
      </c>
      <c r="N36" s="82">
        <f t="shared" si="1"/>
        <v>0.14350061422266708</v>
      </c>
      <c r="O36" s="81">
        <f t="shared" si="1"/>
        <v>0.40919099367852829</v>
      </c>
      <c r="P36" s="82">
        <f t="shared" si="1"/>
        <v>0.92144572667096247</v>
      </c>
      <c r="Q36" s="83">
        <f t="shared" si="1"/>
        <v>6.1710243979972983E-2</v>
      </c>
      <c r="R36" s="82">
        <f t="shared" si="1"/>
        <v>0.12592828106193082</v>
      </c>
      <c r="S36" s="82">
        <f t="shared" si="1"/>
        <v>0.19253535021374549</v>
      </c>
      <c r="T36" s="83">
        <f t="shared" si="1"/>
        <v>7.8799395044014425E-2</v>
      </c>
    </row>
    <row r="37" spans="2:20" x14ac:dyDescent="0.25">
      <c r="B37" s="44" t="s">
        <v>111</v>
      </c>
      <c r="C37" s="45"/>
      <c r="D37" s="45"/>
      <c r="E37" s="46"/>
    </row>
    <row r="38" spans="2:20" x14ac:dyDescent="0.25">
      <c r="B38" s="44"/>
      <c r="C38" s="45"/>
      <c r="D38" s="45"/>
      <c r="E38" s="46"/>
    </row>
    <row r="39" spans="2:20" x14ac:dyDescent="0.25">
      <c r="B39" s="84" t="s">
        <v>112</v>
      </c>
      <c r="C39" s="45"/>
      <c r="D39" s="45"/>
      <c r="E39" s="46"/>
    </row>
    <row r="40" spans="2:20" x14ac:dyDescent="0.25">
      <c r="B40" s="85"/>
      <c r="C40" s="59">
        <v>2015</v>
      </c>
      <c r="D40" s="59">
        <v>2016</v>
      </c>
      <c r="E40" s="59">
        <v>2017</v>
      </c>
      <c r="F40" s="60">
        <v>2018</v>
      </c>
    </row>
    <row r="41" spans="2:20" x14ac:dyDescent="0.25">
      <c r="B41" s="41" t="s">
        <v>107</v>
      </c>
      <c r="C41" s="42">
        <f>M36</f>
        <v>0.12826074547633998</v>
      </c>
      <c r="D41" s="42">
        <f>J36</f>
        <v>2.8033336941227404E-2</v>
      </c>
      <c r="E41" s="42">
        <f>G36</f>
        <v>0.19989669421487602</v>
      </c>
      <c r="F41" s="42">
        <f>D36</f>
        <v>0.20409620030748957</v>
      </c>
    </row>
    <row r="42" spans="2:20" x14ac:dyDescent="0.25">
      <c r="B42" s="41" t="s">
        <v>108</v>
      </c>
      <c r="C42" s="42">
        <f>N36</f>
        <v>0.14350061422266708</v>
      </c>
      <c r="D42" s="42">
        <f>K36</f>
        <v>0.19414881147733135</v>
      </c>
      <c r="E42" s="42">
        <f>H36</f>
        <v>0.13384439157635034</v>
      </c>
      <c r="F42" s="42">
        <f>E36</f>
        <v>0.206959554854248</v>
      </c>
    </row>
    <row r="43" spans="2:20" x14ac:dyDescent="0.25">
      <c r="B43" s="41" t="s">
        <v>106</v>
      </c>
      <c r="C43" s="42">
        <f>L36</f>
        <v>0.13674110081523116</v>
      </c>
      <c r="D43" s="42">
        <f>I36</f>
        <v>0.11703971663275303</v>
      </c>
      <c r="E43" s="42">
        <f>F36</f>
        <v>0.16252928567868002</v>
      </c>
      <c r="F43" s="42">
        <f>C36</f>
        <v>0.20572658060244953</v>
      </c>
    </row>
    <row r="44" spans="2:20" x14ac:dyDescent="0.25">
      <c r="B44" s="44"/>
      <c r="C44" s="45"/>
      <c r="D44" s="45"/>
      <c r="E44" s="46"/>
    </row>
    <row r="57" spans="2:21" ht="18.75" x14ac:dyDescent="0.3">
      <c r="B57" s="19" t="s">
        <v>7</v>
      </c>
      <c r="H57" s="21"/>
      <c r="I57" s="21"/>
      <c r="J57" s="21"/>
      <c r="K57" s="21"/>
      <c r="L57" s="21"/>
      <c r="M57" s="21"/>
      <c r="N57" s="21"/>
      <c r="O57" s="21"/>
      <c r="P57" s="21"/>
      <c r="Q57" s="21"/>
      <c r="R57" s="21"/>
      <c r="S57" s="21"/>
      <c r="T57" s="21"/>
      <c r="U57" s="21"/>
    </row>
    <row r="58" spans="2:21" ht="15.75" thickBot="1" x14ac:dyDescent="0.3">
      <c r="B58" s="22"/>
      <c r="C58" s="22"/>
      <c r="D58" s="22"/>
      <c r="E58" s="22"/>
      <c r="F58" s="22"/>
      <c r="G58" s="22"/>
      <c r="H58" s="23"/>
    </row>
    <row r="59" spans="2:21" ht="15.75" thickBot="1" x14ac:dyDescent="0.3">
      <c r="B59" s="23"/>
      <c r="C59" s="187">
        <v>2018</v>
      </c>
      <c r="D59" s="188"/>
      <c r="E59" s="189"/>
      <c r="F59" s="190">
        <v>2017</v>
      </c>
      <c r="G59" s="191"/>
      <c r="H59" s="192"/>
      <c r="I59" s="187">
        <v>2016</v>
      </c>
      <c r="J59" s="188"/>
      <c r="K59" s="189"/>
      <c r="L59" s="193">
        <v>2015</v>
      </c>
      <c r="M59" s="194"/>
      <c r="N59" s="195"/>
      <c r="O59" s="187">
        <v>2014</v>
      </c>
      <c r="P59" s="188"/>
      <c r="Q59" s="189"/>
      <c r="R59" s="184">
        <v>2013</v>
      </c>
      <c r="S59" s="185"/>
      <c r="T59" s="186"/>
    </row>
    <row r="60" spans="2:21" ht="15.75" thickBot="1" x14ac:dyDescent="0.3">
      <c r="B60" s="24"/>
      <c r="C60" s="25" t="s">
        <v>106</v>
      </c>
      <c r="D60" s="71" t="s">
        <v>107</v>
      </c>
      <c r="E60" s="72" t="s">
        <v>108</v>
      </c>
      <c r="F60" s="73" t="s">
        <v>106</v>
      </c>
      <c r="G60" s="71" t="s">
        <v>107</v>
      </c>
      <c r="H60" s="71" t="s">
        <v>108</v>
      </c>
      <c r="I60" s="25" t="s">
        <v>106</v>
      </c>
      <c r="J60" s="71" t="s">
        <v>107</v>
      </c>
      <c r="K60" s="72" t="s">
        <v>108</v>
      </c>
      <c r="L60" s="74" t="s">
        <v>106</v>
      </c>
      <c r="M60" s="71" t="s">
        <v>107</v>
      </c>
      <c r="N60" s="72" t="s">
        <v>108</v>
      </c>
      <c r="O60" s="25" t="s">
        <v>106</v>
      </c>
      <c r="P60" s="71" t="s">
        <v>107</v>
      </c>
      <c r="Q60" s="72" t="s">
        <v>108</v>
      </c>
      <c r="R60" s="25" t="s">
        <v>106</v>
      </c>
      <c r="S60" s="71" t="s">
        <v>107</v>
      </c>
      <c r="T60" s="72" t="s">
        <v>108</v>
      </c>
    </row>
    <row r="61" spans="2:21" x14ac:dyDescent="0.25">
      <c r="B61" s="27" t="s">
        <v>75</v>
      </c>
      <c r="C61" s="28">
        <v>53647</v>
      </c>
      <c r="D61" s="75">
        <v>25329</v>
      </c>
      <c r="E61" s="76">
        <v>28318</v>
      </c>
      <c r="F61" s="75">
        <v>52546</v>
      </c>
      <c r="G61" s="75">
        <v>26026</v>
      </c>
      <c r="H61" s="75">
        <v>26520</v>
      </c>
      <c r="I61" s="28">
        <v>52824</v>
      </c>
      <c r="J61" s="75">
        <v>26369</v>
      </c>
      <c r="K61" s="76">
        <v>26455</v>
      </c>
      <c r="L61" s="77">
        <v>48851</v>
      </c>
      <c r="M61" s="78">
        <v>21704</v>
      </c>
      <c r="N61" s="79">
        <v>27147</v>
      </c>
      <c r="O61" s="28">
        <v>49605</v>
      </c>
      <c r="P61" s="75">
        <v>19073</v>
      </c>
      <c r="Q61" s="76">
        <v>30532</v>
      </c>
      <c r="R61" s="28">
        <v>51584</v>
      </c>
      <c r="S61" s="75">
        <v>20274</v>
      </c>
      <c r="T61" s="76">
        <v>31310</v>
      </c>
    </row>
    <row r="62" spans="2:21" ht="15.75" thickBot="1" x14ac:dyDescent="0.3">
      <c r="B62" s="27" t="s">
        <v>109</v>
      </c>
      <c r="C62" s="28">
        <v>11885</v>
      </c>
      <c r="D62" s="75">
        <v>-4403</v>
      </c>
      <c r="E62" s="76">
        <v>16288</v>
      </c>
      <c r="F62" s="75">
        <v>12305</v>
      </c>
      <c r="G62" s="75">
        <v>-6879</v>
      </c>
      <c r="H62" s="75">
        <v>19184</v>
      </c>
      <c r="I62" s="28">
        <v>8351</v>
      </c>
      <c r="J62" s="75">
        <v>-8534</v>
      </c>
      <c r="K62" s="76">
        <v>16886</v>
      </c>
      <c r="L62" s="77">
        <v>8964</v>
      </c>
      <c r="M62" s="78">
        <v>-6809</v>
      </c>
      <c r="N62" s="79">
        <v>15773</v>
      </c>
      <c r="O62" s="28">
        <v>12240</v>
      </c>
      <c r="P62" s="75">
        <v>-4744</v>
      </c>
      <c r="Q62" s="76">
        <v>16984</v>
      </c>
      <c r="R62" s="28">
        <v>15716</v>
      </c>
      <c r="S62" s="75">
        <v>-1678</v>
      </c>
      <c r="T62" s="76">
        <v>17394</v>
      </c>
    </row>
    <row r="63" spans="2:21" ht="15.75" thickBot="1" x14ac:dyDescent="0.3">
      <c r="B63" s="80" t="s">
        <v>110</v>
      </c>
      <c r="C63" s="81">
        <f t="shared" ref="C63:T63" si="2">C62/C61</f>
        <v>0.22154081309299681</v>
      </c>
      <c r="D63" s="82">
        <f t="shared" si="2"/>
        <v>-0.17383236606261598</v>
      </c>
      <c r="E63" s="83">
        <f t="shared" si="2"/>
        <v>0.57518186312592701</v>
      </c>
      <c r="F63" s="81">
        <f t="shared" si="2"/>
        <v>0.23417576980169755</v>
      </c>
      <c r="G63" s="82">
        <f t="shared" si="2"/>
        <v>-0.2643126104664566</v>
      </c>
      <c r="H63" s="83">
        <f t="shared" si="2"/>
        <v>0.7233785822021116</v>
      </c>
      <c r="I63" s="81">
        <f t="shared" si="2"/>
        <v>0.15809101923368166</v>
      </c>
      <c r="J63" s="82">
        <f t="shared" si="2"/>
        <v>-0.32363760476316888</v>
      </c>
      <c r="K63" s="83">
        <f t="shared" si="2"/>
        <v>0.63829143829143831</v>
      </c>
      <c r="L63" s="82">
        <f t="shared" si="2"/>
        <v>0.18349675544001146</v>
      </c>
      <c r="M63" s="82">
        <f t="shared" si="2"/>
        <v>-0.31372097309251751</v>
      </c>
      <c r="N63" s="82">
        <f t="shared" si="2"/>
        <v>0.58102184403433155</v>
      </c>
      <c r="O63" s="81">
        <f t="shared" si="2"/>
        <v>0.24674931962503779</v>
      </c>
      <c r="P63" s="82">
        <f t="shared" si="2"/>
        <v>-0.24872856918156555</v>
      </c>
      <c r="Q63" s="83">
        <f t="shared" si="2"/>
        <v>0.55626883270011795</v>
      </c>
      <c r="R63" s="82">
        <f t="shared" si="2"/>
        <v>0.30466811414392059</v>
      </c>
      <c r="S63" s="82">
        <f t="shared" si="2"/>
        <v>-8.2766104370129226E-2</v>
      </c>
      <c r="T63" s="83">
        <f t="shared" si="2"/>
        <v>0.55554136058767167</v>
      </c>
    </row>
    <row r="64" spans="2:21" x14ac:dyDescent="0.25">
      <c r="B64" s="44" t="s">
        <v>111</v>
      </c>
      <c r="C64" s="45"/>
      <c r="D64" s="45"/>
      <c r="E64" s="46"/>
    </row>
    <row r="65" spans="2:6" x14ac:dyDescent="0.25">
      <c r="B65" s="44"/>
      <c r="C65" s="45"/>
      <c r="D65" s="45"/>
      <c r="E65" s="46"/>
    </row>
    <row r="66" spans="2:6" x14ac:dyDescent="0.25">
      <c r="B66" s="84" t="s">
        <v>112</v>
      </c>
      <c r="C66" s="45"/>
      <c r="D66" s="45"/>
      <c r="E66" s="46"/>
    </row>
    <row r="67" spans="2:6" x14ac:dyDescent="0.25">
      <c r="B67" s="85"/>
      <c r="C67" s="59">
        <v>2015</v>
      </c>
      <c r="D67" s="59">
        <v>2016</v>
      </c>
      <c r="E67" s="59">
        <v>2017</v>
      </c>
      <c r="F67" s="60">
        <v>2018</v>
      </c>
    </row>
    <row r="68" spans="2:6" x14ac:dyDescent="0.25">
      <c r="B68" s="41" t="s">
        <v>107</v>
      </c>
      <c r="C68" s="42">
        <f>M63</f>
        <v>-0.31372097309251751</v>
      </c>
      <c r="D68" s="42">
        <f>J63</f>
        <v>-0.32363760476316888</v>
      </c>
      <c r="E68" s="42">
        <f>G63</f>
        <v>-0.2643126104664566</v>
      </c>
      <c r="F68" s="42">
        <f>D63</f>
        <v>-0.17383236606261598</v>
      </c>
    </row>
    <row r="69" spans="2:6" x14ac:dyDescent="0.25">
      <c r="B69" s="41" t="s">
        <v>108</v>
      </c>
      <c r="C69" s="42">
        <f>N63</f>
        <v>0.58102184403433155</v>
      </c>
      <c r="D69" s="42">
        <f>K63</f>
        <v>0.63829143829143831</v>
      </c>
      <c r="E69" s="42">
        <f>H63</f>
        <v>0.7233785822021116</v>
      </c>
      <c r="F69" s="42">
        <f>E63</f>
        <v>0.57518186312592701</v>
      </c>
    </row>
    <row r="70" spans="2:6" x14ac:dyDescent="0.25">
      <c r="B70" s="41" t="s">
        <v>106</v>
      </c>
      <c r="C70" s="42">
        <f>L63</f>
        <v>0.18349675544001146</v>
      </c>
      <c r="D70" s="42">
        <f>I63</f>
        <v>0.15809101923368166</v>
      </c>
      <c r="E70" s="42">
        <f>F63</f>
        <v>0.23417576980169755</v>
      </c>
      <c r="F70" s="42">
        <f>C63</f>
        <v>0.22154081309299681</v>
      </c>
    </row>
    <row r="71" spans="2:6" x14ac:dyDescent="0.25">
      <c r="B71" s="44"/>
      <c r="C71" s="45"/>
      <c r="D71" s="45"/>
      <c r="E71" s="46"/>
    </row>
    <row r="84" spans="2:21" ht="18.75" x14ac:dyDescent="0.3">
      <c r="B84" s="19" t="s">
        <v>9</v>
      </c>
      <c r="H84" s="21"/>
      <c r="I84" s="21"/>
      <c r="J84" s="21"/>
      <c r="K84" s="21"/>
      <c r="L84" s="21"/>
      <c r="M84" s="21"/>
      <c r="N84" s="21"/>
      <c r="O84" s="21"/>
      <c r="P84" s="21"/>
      <c r="Q84" s="21"/>
      <c r="R84" s="21"/>
      <c r="S84" s="21"/>
      <c r="T84" s="21"/>
      <c r="U84" s="21"/>
    </row>
    <row r="85" spans="2:21" ht="15.75" thickBot="1" x14ac:dyDescent="0.3">
      <c r="B85" s="22"/>
      <c r="C85" s="22"/>
      <c r="D85" s="22"/>
      <c r="E85" s="22"/>
      <c r="F85" s="22"/>
      <c r="G85" s="22"/>
      <c r="H85" s="23"/>
    </row>
    <row r="86" spans="2:21" ht="15.75" thickBot="1" x14ac:dyDescent="0.3">
      <c r="B86" s="23"/>
      <c r="C86" s="187">
        <v>2018</v>
      </c>
      <c r="D86" s="188"/>
      <c r="E86" s="189"/>
      <c r="F86" s="190">
        <v>2017</v>
      </c>
      <c r="G86" s="191"/>
      <c r="H86" s="192"/>
      <c r="I86" s="187">
        <v>2016</v>
      </c>
      <c r="J86" s="188"/>
      <c r="K86" s="189"/>
      <c r="L86" s="193">
        <v>2015</v>
      </c>
      <c r="M86" s="194"/>
      <c r="N86" s="195"/>
      <c r="O86" s="187">
        <v>2014</v>
      </c>
      <c r="P86" s="188"/>
      <c r="Q86" s="189"/>
      <c r="R86" s="184">
        <v>2013</v>
      </c>
      <c r="S86" s="185"/>
      <c r="T86" s="186"/>
    </row>
    <row r="87" spans="2:21" ht="15.75" thickBot="1" x14ac:dyDescent="0.3">
      <c r="B87" s="24"/>
      <c r="C87" s="25" t="s">
        <v>106</v>
      </c>
      <c r="D87" s="71" t="s">
        <v>107</v>
      </c>
      <c r="E87" s="72" t="s">
        <v>108</v>
      </c>
      <c r="F87" s="73" t="s">
        <v>106</v>
      </c>
      <c r="G87" s="71" t="s">
        <v>107</v>
      </c>
      <c r="H87" s="71" t="s">
        <v>108</v>
      </c>
      <c r="I87" s="25" t="s">
        <v>106</v>
      </c>
      <c r="J87" s="71" t="s">
        <v>107</v>
      </c>
      <c r="K87" s="72" t="s">
        <v>108</v>
      </c>
      <c r="L87" s="74" t="s">
        <v>106</v>
      </c>
      <c r="M87" s="71" t="s">
        <v>107</v>
      </c>
      <c r="N87" s="72" t="s">
        <v>108</v>
      </c>
      <c r="O87" s="25" t="s">
        <v>106</v>
      </c>
      <c r="P87" s="71" t="s">
        <v>107</v>
      </c>
      <c r="Q87" s="72" t="s">
        <v>108</v>
      </c>
      <c r="R87" s="25" t="s">
        <v>106</v>
      </c>
      <c r="S87" s="71" t="s">
        <v>107</v>
      </c>
      <c r="T87" s="72" t="s">
        <v>108</v>
      </c>
    </row>
    <row r="88" spans="2:21" x14ac:dyDescent="0.25">
      <c r="B88" s="27" t="s">
        <v>75</v>
      </c>
      <c r="C88" s="28">
        <v>30578</v>
      </c>
      <c r="D88" s="75">
        <v>10839</v>
      </c>
      <c r="E88" s="76">
        <v>19739</v>
      </c>
      <c r="F88" s="75">
        <v>27390</v>
      </c>
      <c r="G88" s="75">
        <v>9673</v>
      </c>
      <c r="H88" s="75">
        <v>17717</v>
      </c>
      <c r="I88" s="28">
        <v>20853</v>
      </c>
      <c r="J88" s="75">
        <v>6486</v>
      </c>
      <c r="K88" s="76">
        <v>14367</v>
      </c>
      <c r="L88" s="77">
        <v>20405</v>
      </c>
      <c r="M88" s="78">
        <v>6270</v>
      </c>
      <c r="N88" s="79">
        <v>14135</v>
      </c>
      <c r="O88" s="28">
        <v>20247</v>
      </c>
      <c r="P88" s="75">
        <v>6123</v>
      </c>
      <c r="Q88" s="76">
        <v>14124</v>
      </c>
      <c r="R88" s="28">
        <v>19657</v>
      </c>
      <c r="S88" s="75">
        <v>6208</v>
      </c>
      <c r="T88" s="76">
        <v>13449</v>
      </c>
    </row>
    <row r="89" spans="2:21" ht="15.75" thickBot="1" x14ac:dyDescent="0.3">
      <c r="B89" s="27" t="s">
        <v>109</v>
      </c>
      <c r="C89" s="28">
        <v>2873</v>
      </c>
      <c r="D89" s="75">
        <v>-430</v>
      </c>
      <c r="E89" s="76">
        <v>3303</v>
      </c>
      <c r="F89" s="75">
        <v>2231</v>
      </c>
      <c r="G89" s="75">
        <v>308</v>
      </c>
      <c r="H89" s="75">
        <v>1923</v>
      </c>
      <c r="I89" s="28">
        <v>1413</v>
      </c>
      <c r="J89" s="75">
        <v>306</v>
      </c>
      <c r="K89" s="76">
        <v>1107</v>
      </c>
      <c r="L89" s="77">
        <v>3183</v>
      </c>
      <c r="M89" s="78">
        <v>789</v>
      </c>
      <c r="N89" s="79">
        <v>2394</v>
      </c>
      <c r="O89" s="28">
        <v>2518</v>
      </c>
      <c r="P89" s="75">
        <v>392</v>
      </c>
      <c r="Q89" s="76">
        <v>2126</v>
      </c>
      <c r="R89" s="28">
        <v>2041</v>
      </c>
      <c r="S89" s="75">
        <v>496</v>
      </c>
      <c r="T89" s="76">
        <v>1545</v>
      </c>
    </row>
    <row r="90" spans="2:21" ht="15.75" thickBot="1" x14ac:dyDescent="0.3">
      <c r="B90" s="80" t="s">
        <v>110</v>
      </c>
      <c r="C90" s="81">
        <f t="shared" ref="C90:T90" si="3">C89/C88</f>
        <v>9.3956439270063447E-2</v>
      </c>
      <c r="D90" s="82">
        <f t="shared" si="3"/>
        <v>-3.9671556416643605E-2</v>
      </c>
      <c r="E90" s="83">
        <f t="shared" si="3"/>
        <v>0.16733370484826993</v>
      </c>
      <c r="F90" s="81">
        <f t="shared" si="3"/>
        <v>8.1453085067542896E-2</v>
      </c>
      <c r="G90" s="82">
        <f t="shared" si="3"/>
        <v>3.1841207484751367E-2</v>
      </c>
      <c r="H90" s="83">
        <f t="shared" si="3"/>
        <v>0.10853982051137326</v>
      </c>
      <c r="I90" s="81">
        <f t="shared" si="3"/>
        <v>6.7760034527406129E-2</v>
      </c>
      <c r="J90" s="82">
        <f t="shared" si="3"/>
        <v>4.7178538390379277E-2</v>
      </c>
      <c r="K90" s="83">
        <f t="shared" si="3"/>
        <v>7.7051576529546875E-2</v>
      </c>
      <c r="L90" s="82">
        <f t="shared" si="3"/>
        <v>0.15599117863268808</v>
      </c>
      <c r="M90" s="82">
        <f t="shared" si="3"/>
        <v>0.12583732057416269</v>
      </c>
      <c r="N90" s="82">
        <f t="shared" si="3"/>
        <v>0.16936681995047753</v>
      </c>
      <c r="O90" s="81">
        <f t="shared" si="3"/>
        <v>0.12436410332394923</v>
      </c>
      <c r="P90" s="82">
        <f t="shared" si="3"/>
        <v>6.4020904785235991E-2</v>
      </c>
      <c r="Q90" s="83">
        <f t="shared" si="3"/>
        <v>0.15052393089776267</v>
      </c>
      <c r="R90" s="82">
        <f t="shared" si="3"/>
        <v>0.10383069644401485</v>
      </c>
      <c r="S90" s="82">
        <f t="shared" si="3"/>
        <v>7.9896907216494839E-2</v>
      </c>
      <c r="T90" s="83">
        <f t="shared" si="3"/>
        <v>0.11487842962302029</v>
      </c>
    </row>
    <row r="91" spans="2:21" x14ac:dyDescent="0.25">
      <c r="B91" s="44" t="s">
        <v>111</v>
      </c>
      <c r="C91" s="45"/>
      <c r="D91" s="45"/>
      <c r="E91" s="46"/>
    </row>
    <row r="92" spans="2:21" x14ac:dyDescent="0.25">
      <c r="B92" s="44"/>
      <c r="C92" s="45"/>
      <c r="D92" s="45"/>
      <c r="E92" s="46"/>
    </row>
    <row r="93" spans="2:21" x14ac:dyDescent="0.25">
      <c r="B93" s="84" t="s">
        <v>112</v>
      </c>
      <c r="C93" s="45"/>
      <c r="D93" s="45"/>
      <c r="E93" s="46"/>
    </row>
    <row r="94" spans="2:21" x14ac:dyDescent="0.25">
      <c r="B94" s="85"/>
      <c r="C94" s="59">
        <v>2015</v>
      </c>
      <c r="D94" s="59">
        <v>2016</v>
      </c>
      <c r="E94" s="59">
        <v>2017</v>
      </c>
      <c r="F94" s="60">
        <v>2018</v>
      </c>
    </row>
    <row r="95" spans="2:21" x14ac:dyDescent="0.25">
      <c r="B95" s="41" t="s">
        <v>107</v>
      </c>
      <c r="C95" s="42">
        <f>M90</f>
        <v>0.12583732057416269</v>
      </c>
      <c r="D95" s="42">
        <f>J90</f>
        <v>4.7178538390379277E-2</v>
      </c>
      <c r="E95" s="42">
        <f>G90</f>
        <v>3.1841207484751367E-2</v>
      </c>
      <c r="F95" s="42">
        <f>D90</f>
        <v>-3.9671556416643605E-2</v>
      </c>
    </row>
    <row r="96" spans="2:21" x14ac:dyDescent="0.25">
      <c r="B96" s="41" t="s">
        <v>108</v>
      </c>
      <c r="C96" s="42">
        <f>N90</f>
        <v>0.16936681995047753</v>
      </c>
      <c r="D96" s="42">
        <f>K90</f>
        <v>7.7051576529546875E-2</v>
      </c>
      <c r="E96" s="42">
        <f>H90</f>
        <v>0.10853982051137326</v>
      </c>
      <c r="F96" s="42">
        <f>E90</f>
        <v>0.16733370484826993</v>
      </c>
    </row>
    <row r="97" spans="2:6" x14ac:dyDescent="0.25">
      <c r="B97" s="41" t="s">
        <v>106</v>
      </c>
      <c r="C97" s="42">
        <f>L90</f>
        <v>0.15599117863268808</v>
      </c>
      <c r="D97" s="42">
        <f>I90</f>
        <v>6.7760034527406129E-2</v>
      </c>
      <c r="E97" s="42">
        <f>F90</f>
        <v>8.1453085067542896E-2</v>
      </c>
      <c r="F97" s="42">
        <f>C90</f>
        <v>9.3956439270063447E-2</v>
      </c>
    </row>
    <row r="98" spans="2:6" x14ac:dyDescent="0.25">
      <c r="B98" s="44"/>
      <c r="C98" s="45"/>
      <c r="D98" s="45"/>
      <c r="E98" s="46"/>
    </row>
  </sheetData>
  <sheetProtection sheet="1" objects="1" scenarios="1"/>
  <mergeCells count="24">
    <mergeCell ref="R32:T32"/>
    <mergeCell ref="C4:E4"/>
    <mergeCell ref="F4:H4"/>
    <mergeCell ref="I4:K4"/>
    <mergeCell ref="L4:N4"/>
    <mergeCell ref="O4:Q4"/>
    <mergeCell ref="R4:T4"/>
    <mergeCell ref="C32:E32"/>
    <mergeCell ref="F32:H32"/>
    <mergeCell ref="I32:K32"/>
    <mergeCell ref="L32:N32"/>
    <mergeCell ref="O32:Q32"/>
    <mergeCell ref="R86:T86"/>
    <mergeCell ref="C59:E59"/>
    <mergeCell ref="F59:H59"/>
    <mergeCell ref="I59:K59"/>
    <mergeCell ref="L59:N59"/>
    <mergeCell ref="O59:Q59"/>
    <mergeCell ref="R59:T59"/>
    <mergeCell ref="C86:E86"/>
    <mergeCell ref="F86:H86"/>
    <mergeCell ref="I86:K86"/>
    <mergeCell ref="L86:N86"/>
    <mergeCell ref="O86:Q8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50"/>
  <sheetViews>
    <sheetView topLeftCell="D1" workbookViewId="0">
      <selection activeCell="E30" sqref="E30"/>
    </sheetView>
  </sheetViews>
  <sheetFormatPr defaultColWidth="8.875" defaultRowHeight="15" x14ac:dyDescent="0.25"/>
  <cols>
    <col min="1" max="1" width="2.625" style="20" customWidth="1"/>
    <col min="2" max="2" width="8.875" style="20"/>
    <col min="3" max="3" width="30.625" style="20" customWidth="1"/>
    <col min="4" max="4" width="17.125" style="20" customWidth="1"/>
    <col min="5" max="5" width="34" style="20" customWidth="1"/>
    <col min="6" max="6" width="17.125" style="20" customWidth="1"/>
    <col min="7" max="7" width="34" style="20" customWidth="1"/>
    <col min="8" max="8" width="17.125" style="20" customWidth="1"/>
    <col min="9" max="9" width="34" style="20" customWidth="1"/>
    <col min="10" max="10" width="17.125" style="20" customWidth="1"/>
    <col min="11" max="16384" width="8.875" style="20"/>
  </cols>
  <sheetData>
    <row r="1" spans="2:10" ht="15.75" thickBot="1" x14ac:dyDescent="0.3"/>
    <row r="2" spans="2:10" ht="15.75" thickBot="1" x14ac:dyDescent="0.3">
      <c r="B2" s="86"/>
      <c r="C2" s="196" t="s">
        <v>6</v>
      </c>
      <c r="D2" s="197"/>
      <c r="E2" s="198" t="s">
        <v>8</v>
      </c>
      <c r="F2" s="199"/>
      <c r="G2" s="196" t="s">
        <v>7</v>
      </c>
      <c r="H2" s="197"/>
      <c r="I2" s="198" t="s">
        <v>9</v>
      </c>
      <c r="J2" s="199"/>
    </row>
    <row r="3" spans="2:10" x14ac:dyDescent="0.25">
      <c r="B3" s="87"/>
      <c r="C3" s="88"/>
      <c r="D3" s="89"/>
      <c r="E3" s="88"/>
      <c r="F3" s="89"/>
      <c r="G3" s="88"/>
      <c r="H3" s="89"/>
      <c r="I3" s="88"/>
      <c r="J3" s="89"/>
    </row>
    <row r="4" spans="2:10" x14ac:dyDescent="0.25">
      <c r="B4" s="87"/>
      <c r="C4" s="88" t="s">
        <v>113</v>
      </c>
      <c r="D4" s="89">
        <v>7</v>
      </c>
      <c r="E4" s="88" t="s">
        <v>113</v>
      </c>
      <c r="F4" s="89">
        <v>4</v>
      </c>
      <c r="G4" s="88" t="s">
        <v>113</v>
      </c>
      <c r="H4" s="89">
        <v>7</v>
      </c>
      <c r="I4" s="88" t="s">
        <v>113</v>
      </c>
      <c r="J4" s="89">
        <v>4</v>
      </c>
    </row>
    <row r="5" spans="2:10" x14ac:dyDescent="0.25">
      <c r="B5" s="87"/>
      <c r="C5" s="88" t="s">
        <v>114</v>
      </c>
      <c r="D5" s="89">
        <v>24</v>
      </c>
      <c r="E5" s="88" t="s">
        <v>114</v>
      </c>
      <c r="F5" s="89">
        <v>7</v>
      </c>
      <c r="G5" s="88" t="s">
        <v>114</v>
      </c>
      <c r="H5" s="89">
        <v>27</v>
      </c>
      <c r="I5" s="88" t="s">
        <v>114</v>
      </c>
      <c r="J5" s="89">
        <v>3</v>
      </c>
    </row>
    <row r="6" spans="2:10" x14ac:dyDescent="0.25">
      <c r="B6" s="87"/>
      <c r="C6" s="88" t="s">
        <v>115</v>
      </c>
      <c r="D6" s="90">
        <f>D4/(D5+D4)</f>
        <v>0.22580645161290322</v>
      </c>
      <c r="E6" s="88" t="s">
        <v>115</v>
      </c>
      <c r="F6" s="90">
        <f>F4/(F5+F4)</f>
        <v>0.36363636363636365</v>
      </c>
      <c r="G6" s="88" t="s">
        <v>115</v>
      </c>
      <c r="H6" s="90">
        <f>H4/(H5+H4)</f>
        <v>0.20588235294117646</v>
      </c>
      <c r="I6" s="88" t="s">
        <v>115</v>
      </c>
      <c r="J6" s="90">
        <f>J4/(J5+J4)</f>
        <v>0.5714285714285714</v>
      </c>
    </row>
    <row r="7" spans="2:10" x14ac:dyDescent="0.25">
      <c r="B7" s="87"/>
      <c r="C7" s="88" t="s">
        <v>116</v>
      </c>
      <c r="D7" s="89">
        <v>256</v>
      </c>
      <c r="E7" s="88" t="s">
        <v>116</v>
      </c>
      <c r="F7" s="89">
        <v>404</v>
      </c>
      <c r="G7" s="88" t="s">
        <v>116</v>
      </c>
      <c r="H7" s="89">
        <v>431</v>
      </c>
      <c r="I7" s="88" t="s">
        <v>116</v>
      </c>
      <c r="J7" s="89">
        <v>577</v>
      </c>
    </row>
    <row r="8" spans="2:10" x14ac:dyDescent="0.25">
      <c r="B8" s="87"/>
      <c r="C8" s="88"/>
      <c r="D8" s="89"/>
      <c r="E8" s="88"/>
      <c r="F8" s="89"/>
      <c r="G8" s="88"/>
      <c r="H8" s="89"/>
      <c r="I8" s="88"/>
      <c r="J8" s="89"/>
    </row>
    <row r="9" spans="2:10" ht="15.75" thickBot="1" x14ac:dyDescent="0.3">
      <c r="B9" s="91" t="s">
        <v>117</v>
      </c>
      <c r="C9" s="92" t="s">
        <v>118</v>
      </c>
      <c r="D9" s="93" t="s">
        <v>119</v>
      </c>
      <c r="E9" s="92" t="s">
        <v>118</v>
      </c>
      <c r="F9" s="93" t="s">
        <v>119</v>
      </c>
      <c r="G9" s="92" t="s">
        <v>118</v>
      </c>
      <c r="H9" s="93" t="s">
        <v>119</v>
      </c>
      <c r="I9" s="92" t="s">
        <v>118</v>
      </c>
      <c r="J9" s="93" t="s">
        <v>119</v>
      </c>
    </row>
    <row r="10" spans="2:10" ht="30.75" customHeight="1" x14ac:dyDescent="0.25">
      <c r="B10" s="86">
        <v>1</v>
      </c>
      <c r="C10" s="86" t="s">
        <v>120</v>
      </c>
      <c r="D10" s="94" t="s">
        <v>121</v>
      </c>
      <c r="E10" s="86" t="s">
        <v>122</v>
      </c>
      <c r="F10" s="94" t="s">
        <v>121</v>
      </c>
      <c r="G10" s="86" t="s">
        <v>123</v>
      </c>
      <c r="H10" s="94" t="s">
        <v>124</v>
      </c>
      <c r="I10" s="95" t="s">
        <v>125</v>
      </c>
      <c r="J10" s="94" t="s">
        <v>126</v>
      </c>
    </row>
    <row r="11" spans="2:10" x14ac:dyDescent="0.25">
      <c r="B11" s="87">
        <v>2</v>
      </c>
      <c r="C11" s="87" t="s">
        <v>127</v>
      </c>
      <c r="D11" s="96" t="s">
        <v>128</v>
      </c>
      <c r="E11" s="20" t="s">
        <v>129</v>
      </c>
      <c r="F11" s="96" t="s">
        <v>124</v>
      </c>
      <c r="G11" s="87" t="s">
        <v>130</v>
      </c>
      <c r="H11" s="20" t="s">
        <v>131</v>
      </c>
      <c r="I11" s="87" t="s">
        <v>132</v>
      </c>
      <c r="J11" s="96" t="s">
        <v>124</v>
      </c>
    </row>
    <row r="12" spans="2:10" x14ac:dyDescent="0.25">
      <c r="B12" s="87">
        <f>B11+1</f>
        <v>3</v>
      </c>
      <c r="C12" s="87" t="s">
        <v>133</v>
      </c>
      <c r="D12" s="96" t="s">
        <v>126</v>
      </c>
      <c r="E12" s="87" t="s">
        <v>134</v>
      </c>
      <c r="F12" s="96" t="s">
        <v>121</v>
      </c>
      <c r="G12" s="87" t="s">
        <v>135</v>
      </c>
      <c r="H12" s="20" t="s">
        <v>124</v>
      </c>
      <c r="I12" s="87" t="s">
        <v>136</v>
      </c>
      <c r="J12" s="96" t="s">
        <v>137</v>
      </c>
    </row>
    <row r="13" spans="2:10" x14ac:dyDescent="0.25">
      <c r="B13" s="87">
        <f>B12+1</f>
        <v>4</v>
      </c>
      <c r="C13" s="87" t="s">
        <v>138</v>
      </c>
      <c r="D13" s="96" t="s">
        <v>121</v>
      </c>
      <c r="E13" s="87" t="s">
        <v>139</v>
      </c>
      <c r="F13" s="96" t="s">
        <v>121</v>
      </c>
      <c r="G13" s="20" t="s">
        <v>140</v>
      </c>
      <c r="H13" s="96" t="s">
        <v>124</v>
      </c>
      <c r="I13" s="20" t="s">
        <v>141</v>
      </c>
      <c r="J13" s="96" t="s">
        <v>142</v>
      </c>
    </row>
    <row r="14" spans="2:10" x14ac:dyDescent="0.25">
      <c r="B14" s="87">
        <f>B13+1</f>
        <v>5</v>
      </c>
      <c r="C14" s="87" t="s">
        <v>143</v>
      </c>
      <c r="D14" s="96" t="s">
        <v>126</v>
      </c>
      <c r="E14" s="87"/>
      <c r="F14" s="96"/>
      <c r="G14" s="87" t="s">
        <v>144</v>
      </c>
      <c r="H14" s="96" t="s">
        <v>124</v>
      </c>
      <c r="I14" s="87"/>
      <c r="J14" s="96"/>
    </row>
    <row r="15" spans="2:10" x14ac:dyDescent="0.25">
      <c r="B15" s="87">
        <v>6</v>
      </c>
      <c r="C15" s="87" t="s">
        <v>145</v>
      </c>
      <c r="D15" s="96" t="s">
        <v>126</v>
      </c>
      <c r="E15" s="87"/>
      <c r="F15" s="96"/>
      <c r="G15" s="87" t="s">
        <v>146</v>
      </c>
      <c r="H15" s="20" t="s">
        <v>147</v>
      </c>
      <c r="I15" s="87"/>
      <c r="J15" s="96"/>
    </row>
    <row r="16" spans="2:10" ht="15.75" thickBot="1" x14ac:dyDescent="0.3">
      <c r="B16" s="97">
        <v>7</v>
      </c>
      <c r="C16" s="97" t="s">
        <v>148</v>
      </c>
      <c r="D16" s="23" t="s">
        <v>124</v>
      </c>
      <c r="E16" s="97"/>
      <c r="F16" s="98"/>
      <c r="G16" s="97" t="s">
        <v>149</v>
      </c>
      <c r="H16" s="23" t="s">
        <v>150</v>
      </c>
      <c r="I16" s="97"/>
      <c r="J16" s="98"/>
    </row>
    <row r="17" spans="2:10" x14ac:dyDescent="0.25">
      <c r="B17" s="87"/>
      <c r="C17" s="87"/>
      <c r="E17" s="87"/>
      <c r="G17" s="87"/>
      <c r="I17" s="87"/>
      <c r="J17" s="96"/>
    </row>
    <row r="18" spans="2:10" ht="15.75" thickBot="1" x14ac:dyDescent="0.3">
      <c r="B18" s="91" t="s">
        <v>151</v>
      </c>
      <c r="C18" s="92" t="s">
        <v>118</v>
      </c>
      <c r="D18" s="93" t="s">
        <v>119</v>
      </c>
      <c r="E18" s="92" t="s">
        <v>118</v>
      </c>
      <c r="F18" s="93" t="s">
        <v>119</v>
      </c>
      <c r="G18" s="92" t="s">
        <v>118</v>
      </c>
      <c r="H18" s="93" t="s">
        <v>119</v>
      </c>
      <c r="I18" s="92" t="s">
        <v>118</v>
      </c>
      <c r="J18" s="93" t="s">
        <v>119</v>
      </c>
    </row>
    <row r="19" spans="2:10" x14ac:dyDescent="0.25">
      <c r="B19" s="86">
        <v>1</v>
      </c>
      <c r="C19" s="86" t="s">
        <v>152</v>
      </c>
      <c r="D19" s="94" t="s">
        <v>153</v>
      </c>
      <c r="E19" s="86" t="s">
        <v>154</v>
      </c>
      <c r="F19" s="99" t="s">
        <v>155</v>
      </c>
      <c r="G19" s="86" t="s">
        <v>156</v>
      </c>
      <c r="H19" s="94" t="s">
        <v>157</v>
      </c>
      <c r="I19" s="87" t="s">
        <v>158</v>
      </c>
      <c r="J19" s="94" t="s">
        <v>157</v>
      </c>
    </row>
    <row r="20" spans="2:10" x14ac:dyDescent="0.25">
      <c r="B20" s="87">
        <v>2</v>
      </c>
      <c r="C20" s="87" t="s">
        <v>159</v>
      </c>
      <c r="D20" s="96" t="s">
        <v>157</v>
      </c>
      <c r="E20" s="20" t="s">
        <v>160</v>
      </c>
      <c r="F20" s="20" t="s">
        <v>157</v>
      </c>
      <c r="G20" s="87" t="s">
        <v>161</v>
      </c>
      <c r="H20" s="20" t="s">
        <v>124</v>
      </c>
      <c r="I20" s="87" t="s">
        <v>162</v>
      </c>
      <c r="J20" s="96" t="s">
        <v>157</v>
      </c>
    </row>
    <row r="21" spans="2:10" x14ac:dyDescent="0.25">
      <c r="B21" s="87">
        <f>B20+1</f>
        <v>3</v>
      </c>
      <c r="C21" s="87" t="s">
        <v>163</v>
      </c>
      <c r="D21" s="96" t="s">
        <v>157</v>
      </c>
      <c r="E21" s="87" t="s">
        <v>164</v>
      </c>
      <c r="F21" s="20" t="s">
        <v>165</v>
      </c>
      <c r="G21" s="87" t="s">
        <v>166</v>
      </c>
      <c r="H21" s="20" t="s">
        <v>167</v>
      </c>
      <c r="I21" s="87" t="s">
        <v>168</v>
      </c>
      <c r="J21" s="96" t="s">
        <v>169</v>
      </c>
    </row>
    <row r="22" spans="2:10" x14ac:dyDescent="0.25">
      <c r="B22" s="87">
        <f t="shared" ref="B22:B45" si="0">B21+1</f>
        <v>4</v>
      </c>
      <c r="C22" s="87" t="s">
        <v>170</v>
      </c>
      <c r="D22" s="96" t="s">
        <v>171</v>
      </c>
      <c r="E22" s="87" t="s">
        <v>172</v>
      </c>
      <c r="F22" s="96" t="s">
        <v>173</v>
      </c>
      <c r="G22" s="20" t="s">
        <v>174</v>
      </c>
      <c r="H22" s="96" t="s">
        <v>175</v>
      </c>
      <c r="I22" s="87"/>
      <c r="J22" s="96"/>
    </row>
    <row r="23" spans="2:10" x14ac:dyDescent="0.25">
      <c r="B23" s="87">
        <f t="shared" si="0"/>
        <v>5</v>
      </c>
      <c r="C23" s="87" t="s">
        <v>176</v>
      </c>
      <c r="D23" s="20" t="s">
        <v>157</v>
      </c>
      <c r="E23" s="87" t="s">
        <v>177</v>
      </c>
      <c r="F23" s="20" t="s">
        <v>178</v>
      </c>
      <c r="G23" s="87" t="s">
        <v>179</v>
      </c>
      <c r="H23" s="96" t="s">
        <v>180</v>
      </c>
      <c r="I23" s="87"/>
      <c r="J23" s="96"/>
    </row>
    <row r="24" spans="2:10" x14ac:dyDescent="0.25">
      <c r="B24" s="87">
        <f t="shared" si="0"/>
        <v>6</v>
      </c>
      <c r="C24" s="87" t="s">
        <v>181</v>
      </c>
      <c r="D24" s="20" t="s">
        <v>157</v>
      </c>
      <c r="E24" s="87" t="s">
        <v>182</v>
      </c>
      <c r="F24" s="20" t="s">
        <v>180</v>
      </c>
      <c r="G24" s="87" t="s">
        <v>183</v>
      </c>
      <c r="H24" s="96" t="s">
        <v>184</v>
      </c>
      <c r="I24" s="87"/>
      <c r="J24" s="96"/>
    </row>
    <row r="25" spans="2:10" x14ac:dyDescent="0.25">
      <c r="B25" s="87">
        <f t="shared" si="0"/>
        <v>7</v>
      </c>
      <c r="C25" s="87" t="s">
        <v>185</v>
      </c>
      <c r="D25" s="96" t="s">
        <v>186</v>
      </c>
      <c r="E25" s="87" t="s">
        <v>187</v>
      </c>
      <c r="F25" s="20" t="s">
        <v>157</v>
      </c>
      <c r="G25" s="87" t="s">
        <v>188</v>
      </c>
      <c r="H25" s="96" t="s">
        <v>180</v>
      </c>
      <c r="I25" s="87"/>
      <c r="J25" s="96"/>
    </row>
    <row r="26" spans="2:10" x14ac:dyDescent="0.25">
      <c r="B26" s="87">
        <f t="shared" si="0"/>
        <v>8</v>
      </c>
      <c r="C26" s="87" t="s">
        <v>189</v>
      </c>
      <c r="D26" s="96" t="s">
        <v>190</v>
      </c>
      <c r="E26" s="87"/>
      <c r="G26" s="87" t="s">
        <v>191</v>
      </c>
      <c r="H26" s="96" t="s">
        <v>192</v>
      </c>
      <c r="I26" s="87"/>
      <c r="J26" s="96"/>
    </row>
    <row r="27" spans="2:10" x14ac:dyDescent="0.25">
      <c r="B27" s="87">
        <f t="shared" si="0"/>
        <v>9</v>
      </c>
      <c r="C27" s="87" t="s">
        <v>193</v>
      </c>
      <c r="D27" s="96" t="s">
        <v>157</v>
      </c>
      <c r="E27" s="87"/>
      <c r="G27" s="87" t="s">
        <v>130</v>
      </c>
      <c r="H27" s="96" t="s">
        <v>131</v>
      </c>
      <c r="I27" s="87"/>
      <c r="J27" s="96"/>
    </row>
    <row r="28" spans="2:10" x14ac:dyDescent="0.25">
      <c r="B28" s="87">
        <f t="shared" si="0"/>
        <v>10</v>
      </c>
      <c r="C28" s="87" t="s">
        <v>194</v>
      </c>
      <c r="D28" s="96" t="s">
        <v>157</v>
      </c>
      <c r="E28" s="87"/>
      <c r="G28" s="87" t="s">
        <v>195</v>
      </c>
      <c r="H28" s="96" t="s">
        <v>175</v>
      </c>
      <c r="I28" s="87"/>
      <c r="J28" s="96"/>
    </row>
    <row r="29" spans="2:10" x14ac:dyDescent="0.25">
      <c r="B29" s="87">
        <f t="shared" si="0"/>
        <v>11</v>
      </c>
      <c r="C29" s="87" t="s">
        <v>196</v>
      </c>
      <c r="D29" s="96" t="s">
        <v>157</v>
      </c>
      <c r="E29" s="87"/>
      <c r="G29" s="87" t="s">
        <v>197</v>
      </c>
      <c r="H29" s="96" t="s">
        <v>124</v>
      </c>
      <c r="I29" s="87"/>
      <c r="J29" s="96"/>
    </row>
    <row r="30" spans="2:10" x14ac:dyDescent="0.25">
      <c r="B30" s="87">
        <f t="shared" si="0"/>
        <v>12</v>
      </c>
      <c r="C30" s="87" t="s">
        <v>198</v>
      </c>
      <c r="D30" s="96" t="s">
        <v>199</v>
      </c>
      <c r="E30" s="87"/>
      <c r="G30" s="87" t="s">
        <v>200</v>
      </c>
      <c r="H30" s="96" t="s">
        <v>184</v>
      </c>
      <c r="I30" s="87"/>
      <c r="J30" s="96"/>
    </row>
    <row r="31" spans="2:10" x14ac:dyDescent="0.25">
      <c r="B31" s="87">
        <f t="shared" si="0"/>
        <v>13</v>
      </c>
      <c r="C31" s="87" t="s">
        <v>201</v>
      </c>
      <c r="D31" s="96" t="s">
        <v>202</v>
      </c>
      <c r="E31" s="87"/>
      <c r="G31" s="87" t="s">
        <v>203</v>
      </c>
      <c r="H31" s="96" t="s">
        <v>204</v>
      </c>
      <c r="I31" s="87"/>
      <c r="J31" s="96"/>
    </row>
    <row r="32" spans="2:10" x14ac:dyDescent="0.25">
      <c r="B32" s="87">
        <f t="shared" si="0"/>
        <v>14</v>
      </c>
      <c r="C32" s="87" t="s">
        <v>205</v>
      </c>
      <c r="D32" s="96" t="s">
        <v>167</v>
      </c>
      <c r="E32" s="87"/>
      <c r="G32" s="87" t="s">
        <v>206</v>
      </c>
      <c r="H32" s="20" t="s">
        <v>207</v>
      </c>
      <c r="I32" s="87"/>
      <c r="J32" s="96"/>
    </row>
    <row r="33" spans="2:10" x14ac:dyDescent="0.25">
      <c r="B33" s="87">
        <f t="shared" si="0"/>
        <v>15</v>
      </c>
      <c r="C33" s="87" t="s">
        <v>208</v>
      </c>
      <c r="D33" s="96" t="s">
        <v>204</v>
      </c>
      <c r="E33" s="87"/>
      <c r="G33" s="87" t="s">
        <v>209</v>
      </c>
      <c r="H33" s="96" t="s">
        <v>210</v>
      </c>
      <c r="I33" s="87"/>
      <c r="J33" s="96"/>
    </row>
    <row r="34" spans="2:10" x14ac:dyDescent="0.25">
      <c r="B34" s="87">
        <f t="shared" si="0"/>
        <v>16</v>
      </c>
      <c r="C34" s="87" t="s">
        <v>211</v>
      </c>
      <c r="D34" s="20" t="s">
        <v>169</v>
      </c>
      <c r="E34" s="87"/>
      <c r="G34" s="87" t="s">
        <v>212</v>
      </c>
      <c r="H34" s="20" t="s">
        <v>173</v>
      </c>
      <c r="I34" s="87"/>
      <c r="J34" s="96"/>
    </row>
    <row r="35" spans="2:10" x14ac:dyDescent="0.25">
      <c r="B35" s="87">
        <f t="shared" si="0"/>
        <v>17</v>
      </c>
      <c r="C35" s="87" t="s">
        <v>213</v>
      </c>
      <c r="D35" s="20" t="s">
        <v>214</v>
      </c>
      <c r="E35" s="87"/>
      <c r="G35" s="87" t="s">
        <v>215</v>
      </c>
      <c r="H35" s="20" t="s">
        <v>178</v>
      </c>
      <c r="I35" s="87"/>
      <c r="J35" s="96"/>
    </row>
    <row r="36" spans="2:10" x14ac:dyDescent="0.25">
      <c r="B36" s="87">
        <f t="shared" si="0"/>
        <v>18</v>
      </c>
      <c r="C36" s="87" t="s">
        <v>216</v>
      </c>
      <c r="D36" s="20" t="s">
        <v>192</v>
      </c>
      <c r="E36" s="87"/>
      <c r="G36" s="87" t="s">
        <v>217</v>
      </c>
      <c r="H36" s="96" t="s">
        <v>218</v>
      </c>
      <c r="I36" s="87"/>
      <c r="J36" s="96"/>
    </row>
    <row r="37" spans="2:10" x14ac:dyDescent="0.25">
      <c r="B37" s="87">
        <f t="shared" si="0"/>
        <v>19</v>
      </c>
      <c r="C37" s="87" t="s">
        <v>219</v>
      </c>
      <c r="D37" s="20" t="s">
        <v>220</v>
      </c>
      <c r="E37" s="87"/>
      <c r="G37" s="87" t="s">
        <v>221</v>
      </c>
      <c r="H37" s="96" t="s">
        <v>222</v>
      </c>
      <c r="I37" s="87"/>
      <c r="J37" s="96"/>
    </row>
    <row r="38" spans="2:10" x14ac:dyDescent="0.25">
      <c r="B38" s="87">
        <f t="shared" si="0"/>
        <v>20</v>
      </c>
      <c r="C38" s="87" t="s">
        <v>223</v>
      </c>
      <c r="D38" s="20" t="s">
        <v>224</v>
      </c>
      <c r="E38" s="87"/>
      <c r="G38" s="87" t="s">
        <v>225</v>
      </c>
      <c r="H38" s="96" t="s">
        <v>202</v>
      </c>
      <c r="I38" s="87"/>
      <c r="J38" s="96"/>
    </row>
    <row r="39" spans="2:10" x14ac:dyDescent="0.25">
      <c r="B39" s="87">
        <f t="shared" si="0"/>
        <v>21</v>
      </c>
      <c r="C39" s="87" t="s">
        <v>226</v>
      </c>
      <c r="D39" s="20" t="s">
        <v>227</v>
      </c>
      <c r="E39" s="87"/>
      <c r="G39" s="87" t="s">
        <v>228</v>
      </c>
      <c r="H39" s="96" t="s">
        <v>229</v>
      </c>
      <c r="I39" s="87"/>
      <c r="J39" s="96"/>
    </row>
    <row r="40" spans="2:10" x14ac:dyDescent="0.25">
      <c r="B40" s="87">
        <f t="shared" si="0"/>
        <v>22</v>
      </c>
      <c r="C40" s="87" t="s">
        <v>230</v>
      </c>
      <c r="D40" s="20" t="s">
        <v>173</v>
      </c>
      <c r="E40" s="87"/>
      <c r="G40" s="87" t="s">
        <v>231</v>
      </c>
      <c r="H40" s="96" t="s">
        <v>222</v>
      </c>
      <c r="I40" s="87"/>
      <c r="J40" s="96"/>
    </row>
    <row r="41" spans="2:10" x14ac:dyDescent="0.25">
      <c r="B41" s="87">
        <f t="shared" si="0"/>
        <v>23</v>
      </c>
      <c r="C41" s="87" t="s">
        <v>232</v>
      </c>
      <c r="D41" s="20" t="s">
        <v>202</v>
      </c>
      <c r="E41" s="87"/>
      <c r="G41" s="87" t="s">
        <v>233</v>
      </c>
      <c r="H41" s="96" t="s">
        <v>234</v>
      </c>
      <c r="I41" s="87"/>
      <c r="J41" s="96"/>
    </row>
    <row r="42" spans="2:10" x14ac:dyDescent="0.25">
      <c r="B42" s="87">
        <f t="shared" si="0"/>
        <v>24</v>
      </c>
      <c r="C42" s="87" t="s">
        <v>235</v>
      </c>
      <c r="D42" s="20" t="s">
        <v>155</v>
      </c>
      <c r="E42" s="87"/>
      <c r="G42" s="87" t="s">
        <v>236</v>
      </c>
      <c r="H42" s="96" t="s">
        <v>237</v>
      </c>
      <c r="I42" s="87"/>
      <c r="J42" s="96"/>
    </row>
    <row r="43" spans="2:10" x14ac:dyDescent="0.25">
      <c r="B43" s="87">
        <f t="shared" si="0"/>
        <v>25</v>
      </c>
      <c r="C43" s="87"/>
      <c r="D43" s="96"/>
      <c r="E43" s="87"/>
      <c r="G43" s="87" t="s">
        <v>238</v>
      </c>
      <c r="H43" s="96" t="s">
        <v>157</v>
      </c>
      <c r="I43" s="87"/>
      <c r="J43" s="96"/>
    </row>
    <row r="44" spans="2:10" x14ac:dyDescent="0.25">
      <c r="B44" s="87">
        <f t="shared" si="0"/>
        <v>26</v>
      </c>
      <c r="C44" s="87"/>
      <c r="D44" s="96"/>
      <c r="E44" s="87"/>
      <c r="G44" s="87" t="s">
        <v>239</v>
      </c>
      <c r="H44" s="96" t="s">
        <v>157</v>
      </c>
      <c r="I44" s="87"/>
      <c r="J44" s="96"/>
    </row>
    <row r="45" spans="2:10" x14ac:dyDescent="0.25">
      <c r="B45" s="87">
        <f t="shared" si="0"/>
        <v>27</v>
      </c>
      <c r="C45" s="87"/>
      <c r="D45" s="96"/>
      <c r="E45" s="87"/>
      <c r="G45" s="87" t="s">
        <v>240</v>
      </c>
      <c r="H45" s="96" t="s">
        <v>173</v>
      </c>
      <c r="I45" s="87"/>
      <c r="J45" s="96"/>
    </row>
    <row r="46" spans="2:10" x14ac:dyDescent="0.25">
      <c r="B46" s="87"/>
      <c r="C46" s="87"/>
      <c r="D46" s="96"/>
      <c r="E46" s="87"/>
      <c r="G46" s="87"/>
      <c r="H46" s="96"/>
      <c r="I46" s="87"/>
      <c r="J46" s="96"/>
    </row>
    <row r="47" spans="2:10" ht="15.75" thickBot="1" x14ac:dyDescent="0.3">
      <c r="B47" s="97"/>
      <c r="C47" s="97"/>
      <c r="D47" s="98"/>
      <c r="E47" s="97"/>
      <c r="F47" s="23"/>
      <c r="G47" s="97"/>
      <c r="H47" s="98"/>
      <c r="I47" s="97"/>
      <c r="J47" s="98"/>
    </row>
    <row r="49" spans="2:2" x14ac:dyDescent="0.25">
      <c r="B49" s="44" t="s">
        <v>241</v>
      </c>
    </row>
    <row r="50" spans="2:2" x14ac:dyDescent="0.25">
      <c r="B50" s="44" t="s">
        <v>242</v>
      </c>
    </row>
  </sheetData>
  <sheetProtection sheet="1" objects="1" scenarios="1"/>
  <mergeCells count="4">
    <mergeCell ref="C2:D2"/>
    <mergeCell ref="E2:F2"/>
    <mergeCell ref="G2:H2"/>
    <mergeCell ref="I2:J2"/>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3"/>
  <sheetViews>
    <sheetView workbookViewId="0">
      <selection activeCell="D21" sqref="D21"/>
    </sheetView>
  </sheetViews>
  <sheetFormatPr defaultColWidth="11" defaultRowHeight="15.75" x14ac:dyDescent="0.25"/>
  <cols>
    <col min="3" max="3" width="22.375" customWidth="1"/>
    <col min="4" max="4" width="22.625" customWidth="1"/>
  </cols>
  <sheetData>
    <row r="1" spans="1:5" x14ac:dyDescent="0.25">
      <c r="A1" s="117" t="s">
        <v>264</v>
      </c>
    </row>
    <row r="3" spans="1:5" ht="16.5" thickBot="1" x14ac:dyDescent="0.3">
      <c r="A3" s="8"/>
    </row>
    <row r="4" spans="1:5" ht="57.95" customHeight="1" x14ac:dyDescent="0.25">
      <c r="A4" s="204" t="s">
        <v>41</v>
      </c>
      <c r="B4" s="200" t="s">
        <v>265</v>
      </c>
      <c r="C4" s="202" t="s">
        <v>266</v>
      </c>
      <c r="D4" s="200" t="s">
        <v>42</v>
      </c>
      <c r="E4" s="202" t="s">
        <v>308</v>
      </c>
    </row>
    <row r="5" spans="1:5" ht="16.5" thickBot="1" x14ac:dyDescent="0.3">
      <c r="A5" s="205"/>
      <c r="B5" s="201"/>
      <c r="C5" s="203"/>
      <c r="D5" s="201"/>
      <c r="E5" s="203"/>
    </row>
    <row r="6" spans="1:5" ht="16.5" thickBot="1" x14ac:dyDescent="0.3">
      <c r="A6" s="9" t="s">
        <v>6</v>
      </c>
      <c r="B6" s="10">
        <v>856</v>
      </c>
      <c r="C6" s="11">
        <v>1620</v>
      </c>
      <c r="D6" s="11">
        <f>SUM(B6:C6)</f>
        <v>2476</v>
      </c>
      <c r="E6" s="137">
        <f>D6/17999</f>
        <v>0.13756319795544197</v>
      </c>
    </row>
    <row r="7" spans="1:5" ht="16.5" thickBot="1" x14ac:dyDescent="0.3">
      <c r="A7" s="9" t="s">
        <v>8</v>
      </c>
      <c r="B7" s="10">
        <v>357</v>
      </c>
      <c r="C7" s="10">
        <v>865</v>
      </c>
      <c r="D7" s="11">
        <f>SUM(B7:C7)</f>
        <v>1222</v>
      </c>
      <c r="E7" s="137">
        <f>D7/8701</f>
        <v>0.14044362716929087</v>
      </c>
    </row>
    <row r="8" spans="1:5" ht="16.5" thickBot="1" x14ac:dyDescent="0.3">
      <c r="A8" s="9" t="s">
        <v>7</v>
      </c>
      <c r="B8" s="10">
        <v>445</v>
      </c>
      <c r="C8" s="11">
        <v>2359</v>
      </c>
      <c r="D8" s="11">
        <f>SUM(B8:C8)</f>
        <v>2804</v>
      </c>
      <c r="E8" s="137">
        <f>D8/11885</f>
        <v>0.23592763988220447</v>
      </c>
    </row>
    <row r="9" spans="1:5" ht="16.5" thickBot="1" x14ac:dyDescent="0.3">
      <c r="A9" s="9" t="s">
        <v>9</v>
      </c>
      <c r="B9" s="10" t="s">
        <v>43</v>
      </c>
      <c r="C9" s="10">
        <v>473</v>
      </c>
      <c r="D9" s="11">
        <f>SUM(C9:C9)</f>
        <v>473</v>
      </c>
      <c r="E9" s="137">
        <f>D9/2873</f>
        <v>0.16463626870866691</v>
      </c>
    </row>
    <row r="10" spans="1:5" ht="16.5" thickBot="1" x14ac:dyDescent="0.3">
      <c r="A10" s="9" t="s">
        <v>42</v>
      </c>
      <c r="B10" s="12">
        <f>SUM(B6:B8)</f>
        <v>1658</v>
      </c>
      <c r="C10" s="12">
        <f>SUM(C6:C9)</f>
        <v>5317</v>
      </c>
      <c r="D10" s="12">
        <f>SUM(B10:C10)</f>
        <v>6975</v>
      </c>
      <c r="E10" s="11"/>
    </row>
    <row r="11" spans="1:5" x14ac:dyDescent="0.25">
      <c r="A11" s="17" t="s">
        <v>61</v>
      </c>
    </row>
    <row r="12" spans="1:5" x14ac:dyDescent="0.25">
      <c r="A12" s="13"/>
    </row>
    <row r="13" spans="1:5" x14ac:dyDescent="0.25">
      <c r="A13" s="14"/>
    </row>
  </sheetData>
  <sheetProtection sheet="1" objects="1" scenarios="1"/>
  <mergeCells count="5">
    <mergeCell ref="D4:D5"/>
    <mergeCell ref="C4:C5"/>
    <mergeCell ref="B4:B5"/>
    <mergeCell ref="A4:A5"/>
    <mergeCell ref="E4:E5"/>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60"/>
  <sheetViews>
    <sheetView workbookViewId="0">
      <selection activeCell="A8" sqref="A8"/>
    </sheetView>
  </sheetViews>
  <sheetFormatPr defaultColWidth="11" defaultRowHeight="15.75" x14ac:dyDescent="0.25"/>
  <cols>
    <col min="1" max="1" width="47.5" style="131" customWidth="1"/>
    <col min="2" max="2" width="19.875" style="131" customWidth="1"/>
    <col min="3" max="16384" width="11" style="131"/>
  </cols>
  <sheetData>
    <row r="1" spans="1:3" x14ac:dyDescent="0.25">
      <c r="A1" s="142" t="s">
        <v>50</v>
      </c>
      <c r="B1" s="141"/>
      <c r="C1" s="147" t="s">
        <v>69</v>
      </c>
    </row>
    <row r="2" spans="1:3" x14ac:dyDescent="0.25">
      <c r="A2" s="142"/>
      <c r="B2" s="141"/>
      <c r="C2" s="141"/>
    </row>
    <row r="3" spans="1:3" x14ac:dyDescent="0.25">
      <c r="A3" s="142" t="s">
        <v>62</v>
      </c>
      <c r="B3" s="141">
        <v>6.9749999999999996</v>
      </c>
      <c r="C3" s="141" t="s">
        <v>70</v>
      </c>
    </row>
    <row r="4" spans="1:3" x14ac:dyDescent="0.25">
      <c r="A4" s="142" t="s">
        <v>74</v>
      </c>
      <c r="B4" s="141">
        <v>2.476</v>
      </c>
      <c r="C4" s="141" t="s">
        <v>70</v>
      </c>
    </row>
    <row r="5" spans="1:3" x14ac:dyDescent="0.25">
      <c r="A5" s="141"/>
      <c r="B5" s="141"/>
      <c r="C5" s="141"/>
    </row>
    <row r="6" spans="1:3" x14ac:dyDescent="0.25">
      <c r="A6" s="142" t="s">
        <v>255</v>
      </c>
      <c r="B6" s="141"/>
      <c r="C6" s="141"/>
    </row>
    <row r="7" spans="1:3" x14ac:dyDescent="0.25">
      <c r="A7" s="141" t="s">
        <v>254</v>
      </c>
      <c r="B7" s="141">
        <v>13.6</v>
      </c>
      <c r="C7" s="141" t="s">
        <v>253</v>
      </c>
    </row>
    <row r="8" spans="1:3" x14ac:dyDescent="0.25">
      <c r="A8" s="141" t="s">
        <v>286</v>
      </c>
      <c r="B8" s="141">
        <f>B7/10</f>
        <v>1.3599999999999999</v>
      </c>
      <c r="C8" s="141"/>
    </row>
    <row r="9" spans="1:3" x14ac:dyDescent="0.25">
      <c r="A9" s="141" t="s">
        <v>256</v>
      </c>
      <c r="B9" s="141">
        <f>B3/B8</f>
        <v>5.1286764705882355</v>
      </c>
      <c r="C9" s="141"/>
    </row>
    <row r="10" spans="1:3" x14ac:dyDescent="0.25">
      <c r="A10" s="141"/>
      <c r="B10" s="141"/>
      <c r="C10" s="141"/>
    </row>
    <row r="11" spans="1:3" x14ac:dyDescent="0.25">
      <c r="A11" s="142" t="s">
        <v>71</v>
      </c>
      <c r="B11" s="141"/>
      <c r="C11" s="141"/>
    </row>
    <row r="12" spans="1:3" x14ac:dyDescent="0.25">
      <c r="A12" s="141" t="s">
        <v>72</v>
      </c>
      <c r="B12" s="141">
        <v>600</v>
      </c>
      <c r="C12" s="141" t="s">
        <v>73</v>
      </c>
    </row>
    <row r="13" spans="1:3" x14ac:dyDescent="0.25">
      <c r="A13" s="141" t="s">
        <v>262</v>
      </c>
      <c r="B13" s="148">
        <v>558000</v>
      </c>
      <c r="C13" s="141"/>
    </row>
    <row r="14" spans="1:3" x14ac:dyDescent="0.25">
      <c r="A14" s="141" t="s">
        <v>287</v>
      </c>
      <c r="B14" s="148">
        <f>B13*B12</f>
        <v>334800000</v>
      </c>
      <c r="C14" s="141"/>
    </row>
    <row r="15" spans="1:3" x14ac:dyDescent="0.25">
      <c r="A15" s="141" t="s">
        <v>288</v>
      </c>
      <c r="B15" s="141">
        <v>0.33479999999999999</v>
      </c>
      <c r="C15" s="141"/>
    </row>
    <row r="16" spans="1:3" x14ac:dyDescent="0.25">
      <c r="A16" s="141" t="s">
        <v>263</v>
      </c>
      <c r="B16" s="148">
        <f>B4/B15</f>
        <v>7.3954599761051378</v>
      </c>
      <c r="C16" s="141"/>
    </row>
    <row r="17" spans="1:3" x14ac:dyDescent="0.25">
      <c r="A17" s="141" t="s">
        <v>289</v>
      </c>
      <c r="B17" s="148">
        <v>2335</v>
      </c>
      <c r="C17" s="141" t="s">
        <v>261</v>
      </c>
    </row>
    <row r="18" spans="1:3" x14ac:dyDescent="0.25">
      <c r="A18" s="141" t="s">
        <v>290</v>
      </c>
      <c r="B18" s="148">
        <f>B13*B17</f>
        <v>1302930000</v>
      </c>
      <c r="C18" s="141"/>
    </row>
    <row r="19" spans="1:3" x14ac:dyDescent="0.25">
      <c r="A19" s="141" t="s">
        <v>291</v>
      </c>
      <c r="B19" s="141">
        <v>1.302</v>
      </c>
      <c r="C19" s="141"/>
    </row>
    <row r="20" spans="1:3" x14ac:dyDescent="0.25">
      <c r="A20" s="141" t="s">
        <v>263</v>
      </c>
      <c r="B20" s="148">
        <f>B4/B19</f>
        <v>1.9016897081413209</v>
      </c>
      <c r="C20" s="141"/>
    </row>
    <row r="21" spans="1:3" x14ac:dyDescent="0.25">
      <c r="A21" s="141"/>
      <c r="B21" s="141"/>
      <c r="C21" s="141"/>
    </row>
    <row r="22" spans="1:3" x14ac:dyDescent="0.25">
      <c r="A22" s="142" t="s">
        <v>52</v>
      </c>
      <c r="B22" s="141"/>
      <c r="C22" s="141"/>
    </row>
    <row r="23" spans="1:3" x14ac:dyDescent="0.25">
      <c r="A23" s="141" t="s">
        <v>66</v>
      </c>
      <c r="B23" s="148">
        <v>17523000000</v>
      </c>
      <c r="C23" s="141" t="s">
        <v>63</v>
      </c>
    </row>
    <row r="24" spans="1:3" x14ac:dyDescent="0.25">
      <c r="A24" s="141" t="s">
        <v>64</v>
      </c>
      <c r="B24" s="148">
        <v>6603272</v>
      </c>
      <c r="C24" s="141" t="s">
        <v>65</v>
      </c>
    </row>
    <row r="25" spans="1:3" x14ac:dyDescent="0.25">
      <c r="A25" s="141" t="s">
        <v>292</v>
      </c>
      <c r="B25" s="148">
        <f>B23/B24</f>
        <v>2653.684415847174</v>
      </c>
      <c r="C25" s="141"/>
    </row>
    <row r="26" spans="1:3" x14ac:dyDescent="0.25">
      <c r="A26" s="141" t="s">
        <v>293</v>
      </c>
      <c r="B26" s="148">
        <f>6975000000/B25</f>
        <v>2628421.058038007</v>
      </c>
      <c r="C26" s="141"/>
    </row>
    <row r="27" spans="1:3" x14ac:dyDescent="0.25">
      <c r="A27" s="141" t="s">
        <v>67</v>
      </c>
      <c r="B27" s="148">
        <f>B28-B26</f>
        <v>1155678.941961993</v>
      </c>
      <c r="C27" s="141"/>
    </row>
    <row r="28" spans="1:3" x14ac:dyDescent="0.25">
      <c r="A28" s="141" t="s">
        <v>294</v>
      </c>
      <c r="B28" s="148">
        <v>3784100</v>
      </c>
      <c r="C28" s="141" t="s">
        <v>295</v>
      </c>
    </row>
    <row r="29" spans="1:3" x14ac:dyDescent="0.25">
      <c r="A29" s="141" t="s">
        <v>68</v>
      </c>
      <c r="B29" s="141">
        <f>B26/B28</f>
        <v>0.69459608837980158</v>
      </c>
      <c r="C29" s="141"/>
    </row>
    <row r="30" spans="1:3" x14ac:dyDescent="0.25">
      <c r="A30" s="141"/>
      <c r="B30" s="141"/>
      <c r="C30" s="141"/>
    </row>
    <row r="31" spans="1:3" x14ac:dyDescent="0.25">
      <c r="A31" s="142" t="s">
        <v>46</v>
      </c>
      <c r="B31" s="141"/>
      <c r="C31" s="141"/>
    </row>
    <row r="32" spans="1:3" x14ac:dyDescent="0.25">
      <c r="A32" s="141" t="s">
        <v>297</v>
      </c>
      <c r="B32" s="141">
        <v>39.200000000000003</v>
      </c>
      <c r="C32" s="141" t="s">
        <v>47</v>
      </c>
    </row>
    <row r="33" spans="1:3" x14ac:dyDescent="0.25">
      <c r="A33" s="141" t="s">
        <v>296</v>
      </c>
      <c r="B33" s="141">
        <f>B3/B32</f>
        <v>0.17793367346938774</v>
      </c>
      <c r="C33" s="141"/>
    </row>
    <row r="34" spans="1:3" x14ac:dyDescent="0.25">
      <c r="A34" s="141"/>
      <c r="B34" s="141"/>
      <c r="C34" s="141"/>
    </row>
    <row r="35" spans="1:3" x14ac:dyDescent="0.25">
      <c r="A35" s="142" t="s">
        <v>48</v>
      </c>
      <c r="B35" s="141"/>
      <c r="C35" s="141"/>
    </row>
    <row r="36" spans="1:3" x14ac:dyDescent="0.25">
      <c r="A36" s="141" t="s">
        <v>49</v>
      </c>
      <c r="B36" s="141">
        <v>6.6</v>
      </c>
      <c r="C36" s="141" t="s">
        <v>51</v>
      </c>
    </row>
    <row r="37" spans="1:3" x14ac:dyDescent="0.25">
      <c r="A37" s="141" t="s">
        <v>296</v>
      </c>
      <c r="B37" s="141">
        <f>B3/B36</f>
        <v>1.0568181818181819</v>
      </c>
      <c r="C37" s="141"/>
    </row>
    <row r="38" spans="1:3" x14ac:dyDescent="0.25">
      <c r="A38" s="141"/>
      <c r="B38" s="141"/>
      <c r="C38" s="141"/>
    </row>
    <row r="39" spans="1:3" x14ac:dyDescent="0.25">
      <c r="A39" s="142" t="s">
        <v>56</v>
      </c>
      <c r="B39" s="141"/>
      <c r="C39" s="141"/>
    </row>
    <row r="40" spans="1:3" x14ac:dyDescent="0.25">
      <c r="A40" s="141" t="s">
        <v>55</v>
      </c>
      <c r="B40" s="141">
        <v>37</v>
      </c>
      <c r="C40" s="141" t="s">
        <v>53</v>
      </c>
    </row>
    <row r="41" spans="1:3" x14ac:dyDescent="0.25">
      <c r="A41" s="141" t="s">
        <v>54</v>
      </c>
      <c r="B41" s="141">
        <f>B3/B40</f>
        <v>0.1885135135135135</v>
      </c>
      <c r="C41" s="141"/>
    </row>
    <row r="42" spans="1:3" x14ac:dyDescent="0.25">
      <c r="A42" s="141"/>
      <c r="B42" s="141"/>
      <c r="C42" s="141"/>
    </row>
    <row r="43" spans="1:3" x14ac:dyDescent="0.25">
      <c r="A43" s="142" t="s">
        <v>299</v>
      </c>
      <c r="B43" s="141"/>
      <c r="C43" s="141"/>
    </row>
    <row r="44" spans="1:3" x14ac:dyDescent="0.25">
      <c r="A44" s="141" t="s">
        <v>298</v>
      </c>
      <c r="B44" s="141">
        <v>8.8800000000000008</v>
      </c>
      <c r="C44" s="141" t="s">
        <v>57</v>
      </c>
    </row>
    <row r="45" spans="1:3" x14ac:dyDescent="0.25">
      <c r="A45" s="141" t="s">
        <v>54</v>
      </c>
      <c r="B45" s="141">
        <f>B3/B44</f>
        <v>0.78547297297297292</v>
      </c>
      <c r="C45" s="141"/>
    </row>
    <row r="46" spans="1:3" x14ac:dyDescent="0.25">
      <c r="A46" s="141" t="s">
        <v>300</v>
      </c>
      <c r="B46" s="141">
        <f>0.857+0.196</f>
        <v>1.0529999999999999</v>
      </c>
      <c r="C46" s="141" t="s">
        <v>60</v>
      </c>
    </row>
    <row r="47" spans="1:3" x14ac:dyDescent="0.25">
      <c r="A47" s="141" t="s">
        <v>301</v>
      </c>
      <c r="B47" s="141">
        <f>B45*B46</f>
        <v>0.8271030405405404</v>
      </c>
      <c r="C47" s="141"/>
    </row>
    <row r="48" spans="1:3" x14ac:dyDescent="0.25">
      <c r="A48" s="141"/>
      <c r="B48" s="141"/>
      <c r="C48" s="141"/>
    </row>
    <row r="49" spans="1:3" x14ac:dyDescent="0.25">
      <c r="A49" s="142" t="s">
        <v>59</v>
      </c>
      <c r="B49" s="141"/>
      <c r="C49" s="141"/>
    </row>
    <row r="50" spans="1:3" x14ac:dyDescent="0.25">
      <c r="A50" s="141" t="s">
        <v>302</v>
      </c>
      <c r="B50" s="141">
        <v>6.89</v>
      </c>
      <c r="C50" s="141" t="s">
        <v>58</v>
      </c>
    </row>
    <row r="51" spans="1:3" x14ac:dyDescent="0.25">
      <c r="A51" s="141" t="s">
        <v>54</v>
      </c>
      <c r="B51" s="141">
        <f>B21/B50</f>
        <v>0</v>
      </c>
      <c r="C51" s="141"/>
    </row>
    <row r="52" spans="1:3" x14ac:dyDescent="0.25">
      <c r="A52" s="141"/>
      <c r="B52" s="141"/>
      <c r="C52" s="141"/>
    </row>
    <row r="53" spans="1:3" x14ac:dyDescent="0.25">
      <c r="A53" s="142" t="s">
        <v>252</v>
      </c>
      <c r="B53" s="141"/>
      <c r="C53" s="141"/>
    </row>
    <row r="54" spans="1:3" ht="26.25" x14ac:dyDescent="0.25">
      <c r="A54" s="149" t="s">
        <v>303</v>
      </c>
      <c r="B54" s="141">
        <v>5.7368180000000004</v>
      </c>
      <c r="C54" s="141" t="s">
        <v>243</v>
      </c>
    </row>
    <row r="55" spans="1:3" ht="26.25" x14ac:dyDescent="0.25">
      <c r="A55" s="149" t="s">
        <v>304</v>
      </c>
      <c r="B55" s="141">
        <v>1.2658400000000001</v>
      </c>
      <c r="C55" s="141" t="s">
        <v>243</v>
      </c>
    </row>
    <row r="56" spans="1:3" x14ac:dyDescent="0.25">
      <c r="A56" s="149" t="s">
        <v>54</v>
      </c>
      <c r="B56" s="141">
        <f>B3/B55</f>
        <v>5.5101750616191616</v>
      </c>
      <c r="C56" s="141"/>
    </row>
    <row r="57" spans="1:3" x14ac:dyDescent="0.25">
      <c r="A57" s="141"/>
      <c r="B57" s="141"/>
      <c r="C57" s="141"/>
    </row>
    <row r="58" spans="1:3" x14ac:dyDescent="0.25">
      <c r="A58" s="142" t="s">
        <v>306</v>
      </c>
      <c r="B58" s="141"/>
      <c r="C58" s="141"/>
    </row>
    <row r="59" spans="1:3" x14ac:dyDescent="0.25">
      <c r="A59" s="141" t="s">
        <v>307</v>
      </c>
      <c r="B59" s="141">
        <v>7.4</v>
      </c>
      <c r="C59" s="141" t="s">
        <v>305</v>
      </c>
    </row>
    <row r="60" spans="1:3" x14ac:dyDescent="0.25">
      <c r="A60" s="149" t="s">
        <v>54</v>
      </c>
      <c r="B60" s="141">
        <f>B3/B59</f>
        <v>0.94256756756756743</v>
      </c>
      <c r="C60" s="141"/>
    </row>
  </sheetData>
  <sheetProtection sheet="1" objects="1" scenarios="1"/>
  <hyperlinks>
    <hyperlink ref="C23" r:id="rId1" location="note-1" xr:uid="{00000000-0004-0000-0700-000000000000}"/>
    <hyperlink ref="C12" r:id="rId2" xr:uid="{00000000-0004-0000-0700-000001000000}"/>
    <hyperlink ref="C55" r:id="rId3" display="https://stats.oecd.org/" xr:uid="{00000000-0004-0000-0700-000002000000}"/>
    <hyperlink ref="C54" r:id="rId4" display="https://stats.oecd.org/" xr:uid="{00000000-0004-0000-0700-000003000000}"/>
    <hyperlink ref="C28" r:id="rId5" xr:uid="{00000000-0004-0000-0700-000004000000}"/>
    <hyperlink ref="C32" r:id="rId6" xr:uid="{00000000-0004-0000-0700-000005000000}"/>
    <hyperlink ref="C44" r:id="rId7" xr:uid="{00000000-0004-0000-0700-000006000000}"/>
    <hyperlink ref="C46" r:id="rId8" xr:uid="{00000000-0004-0000-0700-000007000000}"/>
    <hyperlink ref="C50" r:id="rId9" xr:uid="{00000000-0004-0000-0700-000008000000}"/>
  </hyperlinks>
  <pageMargins left="0.7" right="0.7" top="0.75" bottom="0.75" header="0.3" footer="0.3"/>
  <pageSetup orientation="portrait" verticalDpi="0"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91"/>
  <sheetViews>
    <sheetView topLeftCell="A55" zoomScale="109" workbookViewId="0">
      <selection activeCell="N63" sqref="N63"/>
    </sheetView>
  </sheetViews>
  <sheetFormatPr defaultColWidth="11" defaultRowHeight="15.75" x14ac:dyDescent="0.25"/>
  <sheetData>
    <row r="1" spans="1:12" x14ac:dyDescent="0.25">
      <c r="A1" s="7" t="s">
        <v>25</v>
      </c>
    </row>
    <row r="2" spans="1:12" ht="16.5" thickBot="1" x14ac:dyDescent="0.3">
      <c r="A2" s="7"/>
    </row>
    <row r="3" spans="1:12" ht="15.95" customHeight="1" x14ac:dyDescent="0.25">
      <c r="A3" s="206" t="s">
        <v>12</v>
      </c>
      <c r="B3" s="207"/>
      <c r="C3" s="207"/>
      <c r="D3" s="207"/>
      <c r="E3" s="207"/>
      <c r="F3" s="207"/>
      <c r="G3" s="207"/>
      <c r="H3" s="207"/>
      <c r="I3" s="207"/>
      <c r="J3" s="207"/>
      <c r="K3" s="207"/>
      <c r="L3" s="208"/>
    </row>
    <row r="4" spans="1:12" ht="15.95" customHeight="1" x14ac:dyDescent="0.25">
      <c r="A4" s="209" t="s">
        <v>13</v>
      </c>
      <c r="B4" s="210"/>
      <c r="C4" s="210"/>
      <c r="D4" s="210"/>
      <c r="E4" s="210"/>
      <c r="F4" s="210"/>
      <c r="G4" s="210"/>
      <c r="H4" s="210"/>
      <c r="I4" s="210"/>
      <c r="J4" s="210"/>
      <c r="K4" s="210"/>
      <c r="L4" s="211"/>
    </row>
    <row r="5" spans="1:12" ht="17.100000000000001" customHeight="1" thickBot="1" x14ac:dyDescent="0.3">
      <c r="A5" s="212" t="s">
        <v>17</v>
      </c>
      <c r="B5" s="213"/>
      <c r="C5" s="213"/>
      <c r="D5" s="213"/>
      <c r="E5" s="213"/>
      <c r="F5" s="213"/>
      <c r="G5" s="213"/>
      <c r="H5" s="213"/>
      <c r="I5" s="213"/>
      <c r="J5" s="213"/>
      <c r="K5" s="213"/>
      <c r="L5" s="214"/>
    </row>
    <row r="6" spans="1:12" ht="26.1" customHeight="1" x14ac:dyDescent="0.25">
      <c r="A6" s="215" t="s">
        <v>3</v>
      </c>
      <c r="B6" s="215" t="s">
        <v>4</v>
      </c>
      <c r="C6" s="215" t="s">
        <v>20</v>
      </c>
      <c r="D6" s="215" t="s">
        <v>24</v>
      </c>
      <c r="E6" s="215" t="s">
        <v>23</v>
      </c>
      <c r="F6" s="215" t="s">
        <v>28</v>
      </c>
      <c r="G6" s="215" t="s">
        <v>5</v>
      </c>
      <c r="H6" s="215" t="s">
        <v>30</v>
      </c>
      <c r="I6" s="215" t="s">
        <v>26</v>
      </c>
      <c r="J6" s="215" t="s">
        <v>22</v>
      </c>
      <c r="K6" s="215" t="s">
        <v>27</v>
      </c>
      <c r="L6" s="215" t="s">
        <v>21</v>
      </c>
    </row>
    <row r="7" spans="1:12" ht="15.95" customHeight="1" x14ac:dyDescent="0.25">
      <c r="A7" s="216"/>
      <c r="B7" s="216"/>
      <c r="C7" s="216"/>
      <c r="D7" s="216" t="s">
        <v>14</v>
      </c>
      <c r="E7" s="216" t="s">
        <v>15</v>
      </c>
      <c r="F7" s="216"/>
      <c r="G7" s="216"/>
      <c r="H7" s="216"/>
      <c r="I7" s="216"/>
      <c r="J7" s="216" t="s">
        <v>19</v>
      </c>
      <c r="K7" s="216"/>
      <c r="L7" s="216" t="s">
        <v>19</v>
      </c>
    </row>
    <row r="8" spans="1:12" ht="8.1" customHeight="1" thickBot="1" x14ac:dyDescent="0.3">
      <c r="A8" s="217"/>
      <c r="B8" s="217"/>
      <c r="C8" s="217"/>
      <c r="D8" s="217"/>
      <c r="E8" s="217" t="s">
        <v>16</v>
      </c>
      <c r="F8" s="217"/>
      <c r="G8" s="217"/>
      <c r="H8" s="217"/>
      <c r="I8" s="217"/>
      <c r="J8" s="217"/>
      <c r="K8" s="217"/>
      <c r="L8" s="217"/>
    </row>
    <row r="9" spans="1:12" x14ac:dyDescent="0.25">
      <c r="A9" s="2" t="s">
        <v>6</v>
      </c>
      <c r="B9" s="5">
        <v>684</v>
      </c>
      <c r="C9" s="5">
        <v>122</v>
      </c>
      <c r="D9" s="5">
        <v>45</v>
      </c>
      <c r="E9" s="5">
        <v>70</v>
      </c>
      <c r="F9" s="5">
        <f>D9+E9</f>
        <v>115</v>
      </c>
      <c r="G9" s="5">
        <v>84</v>
      </c>
      <c r="H9" s="6">
        <f>(F9/G9)-1</f>
        <v>0.36904761904761907</v>
      </c>
      <c r="I9" s="6">
        <f>F9/C9</f>
        <v>0.94262295081967218</v>
      </c>
      <c r="J9" s="6">
        <f>G9/C9</f>
        <v>0.68852459016393441</v>
      </c>
      <c r="K9" s="6">
        <f>F9/B9</f>
        <v>0.16812865497076024</v>
      </c>
      <c r="L9" s="6">
        <f>G9/B9</f>
        <v>0.12280701754385964</v>
      </c>
    </row>
    <row r="10" spans="1:12" x14ac:dyDescent="0.25">
      <c r="A10" s="2" t="s">
        <v>7</v>
      </c>
      <c r="B10" s="5">
        <v>548</v>
      </c>
      <c r="C10" s="5">
        <v>116</v>
      </c>
      <c r="D10" s="5">
        <v>56</v>
      </c>
      <c r="E10" s="5">
        <v>68</v>
      </c>
      <c r="F10" s="5">
        <f t="shared" ref="F10:F13" si="0">D10+E10</f>
        <v>124</v>
      </c>
      <c r="G10" s="5">
        <v>81</v>
      </c>
      <c r="H10" s="6">
        <f t="shared" ref="H10:H13" si="1">(F10/G10)-1</f>
        <v>0.53086419753086411</v>
      </c>
      <c r="I10" s="6">
        <f t="shared" ref="I10:I13" si="2">F10/C10</f>
        <v>1.0689655172413792</v>
      </c>
      <c r="J10" s="6">
        <f t="shared" ref="J10:J13" si="3">G10/C10</f>
        <v>0.69827586206896552</v>
      </c>
      <c r="K10" s="6">
        <f t="shared" ref="K10:K13" si="4">F10/B10</f>
        <v>0.22627737226277372</v>
      </c>
      <c r="L10" s="6">
        <f t="shared" ref="L10:L13" si="5">G10/B10</f>
        <v>0.1478102189781022</v>
      </c>
    </row>
    <row r="11" spans="1:12" x14ac:dyDescent="0.25">
      <c r="A11" s="2" t="s">
        <v>8</v>
      </c>
      <c r="B11" s="5">
        <v>398</v>
      </c>
      <c r="C11" s="5">
        <v>61</v>
      </c>
      <c r="D11" s="5">
        <v>35</v>
      </c>
      <c r="E11" s="5">
        <v>47</v>
      </c>
      <c r="F11" s="5">
        <f t="shared" si="0"/>
        <v>82</v>
      </c>
      <c r="G11" s="5">
        <v>80</v>
      </c>
      <c r="H11" s="6">
        <f t="shared" si="1"/>
        <v>2.4999999999999911E-2</v>
      </c>
      <c r="I11" s="6">
        <f t="shared" si="2"/>
        <v>1.3442622950819672</v>
      </c>
      <c r="J11" s="6">
        <f t="shared" si="3"/>
        <v>1.3114754098360655</v>
      </c>
      <c r="K11" s="6">
        <f t="shared" si="4"/>
        <v>0.20603015075376885</v>
      </c>
      <c r="L11" s="6">
        <f t="shared" si="5"/>
        <v>0.20100502512562815</v>
      </c>
    </row>
    <row r="12" spans="1:12" x14ac:dyDescent="0.25">
      <c r="A12" s="2" t="s">
        <v>9</v>
      </c>
      <c r="B12" s="5">
        <v>400</v>
      </c>
      <c r="C12" s="5">
        <v>59</v>
      </c>
      <c r="D12" s="5">
        <v>28</v>
      </c>
      <c r="E12" s="5">
        <v>37</v>
      </c>
      <c r="F12" s="5">
        <f t="shared" si="0"/>
        <v>65</v>
      </c>
      <c r="G12" s="5">
        <v>45</v>
      </c>
      <c r="H12" s="6">
        <f t="shared" si="1"/>
        <v>0.44444444444444442</v>
      </c>
      <c r="I12" s="6">
        <f t="shared" si="2"/>
        <v>1.1016949152542372</v>
      </c>
      <c r="J12" s="6">
        <f t="shared" si="3"/>
        <v>0.76271186440677963</v>
      </c>
      <c r="K12" s="6">
        <f t="shared" si="4"/>
        <v>0.16250000000000001</v>
      </c>
      <c r="L12" s="6">
        <f t="shared" si="5"/>
        <v>0.1125</v>
      </c>
    </row>
    <row r="13" spans="1:12" x14ac:dyDescent="0.25">
      <c r="A13" s="2" t="s">
        <v>18</v>
      </c>
      <c r="B13" s="5">
        <f>SUM(B9:B12)</f>
        <v>2030</v>
      </c>
      <c r="C13" s="5">
        <f>SUM(C9:C12)</f>
        <v>358</v>
      </c>
      <c r="D13" s="5">
        <f>SUM(D9:D12)</f>
        <v>164</v>
      </c>
      <c r="E13" s="5">
        <f>SUM(E9:E12)</f>
        <v>222</v>
      </c>
      <c r="F13" s="5">
        <f t="shared" si="0"/>
        <v>386</v>
      </c>
      <c r="G13" s="5">
        <f>SUM(G9:G12)</f>
        <v>290</v>
      </c>
      <c r="H13" s="6">
        <f t="shared" si="1"/>
        <v>0.33103448275862069</v>
      </c>
      <c r="I13" s="6">
        <f t="shared" si="2"/>
        <v>1.0782122905027933</v>
      </c>
      <c r="J13" s="6">
        <f t="shared" si="3"/>
        <v>0.81005586592178769</v>
      </c>
      <c r="K13" s="6">
        <f t="shared" si="4"/>
        <v>0.19014778325123152</v>
      </c>
      <c r="L13" s="6">
        <f t="shared" si="5"/>
        <v>0.14285714285714285</v>
      </c>
    </row>
    <row r="14" spans="1:12" x14ac:dyDescent="0.25">
      <c r="A14" s="3" t="s">
        <v>29</v>
      </c>
    </row>
    <row r="16" spans="1:12" ht="16.5" thickBot="1" x14ac:dyDescent="0.3">
      <c r="A16" s="4"/>
    </row>
    <row r="17" spans="1:12" x14ac:dyDescent="0.25">
      <c r="A17" s="206" t="s">
        <v>12</v>
      </c>
      <c r="B17" s="207"/>
      <c r="C17" s="207"/>
      <c r="D17" s="207"/>
      <c r="E17" s="207"/>
      <c r="F17" s="207"/>
      <c r="G17" s="207"/>
      <c r="H17" s="207"/>
      <c r="I17" s="207"/>
      <c r="J17" s="207"/>
      <c r="K17" s="207"/>
      <c r="L17" s="208"/>
    </row>
    <row r="18" spans="1:12" x14ac:dyDescent="0.25">
      <c r="A18" s="209" t="s">
        <v>13</v>
      </c>
      <c r="B18" s="210"/>
      <c r="C18" s="210"/>
      <c r="D18" s="210"/>
      <c r="E18" s="210"/>
      <c r="F18" s="210"/>
      <c r="G18" s="210"/>
      <c r="H18" s="210"/>
      <c r="I18" s="210"/>
      <c r="J18" s="210"/>
      <c r="K18" s="210"/>
      <c r="L18" s="211"/>
    </row>
    <row r="19" spans="1:12" ht="16.5" thickBot="1" x14ac:dyDescent="0.3">
      <c r="A19" s="212" t="s">
        <v>38</v>
      </c>
      <c r="B19" s="213"/>
      <c r="C19" s="213"/>
      <c r="D19" s="213"/>
      <c r="E19" s="213"/>
      <c r="F19" s="213"/>
      <c r="G19" s="213"/>
      <c r="H19" s="213"/>
      <c r="I19" s="213"/>
      <c r="J19" s="213"/>
      <c r="K19" s="213"/>
      <c r="L19" s="214"/>
    </row>
    <row r="20" spans="1:12" x14ac:dyDescent="0.25">
      <c r="A20" s="215" t="s">
        <v>3</v>
      </c>
      <c r="B20" s="215" t="s">
        <v>4</v>
      </c>
      <c r="C20" s="215" t="s">
        <v>20</v>
      </c>
      <c r="D20" s="215" t="s">
        <v>24</v>
      </c>
      <c r="E20" s="215" t="s">
        <v>23</v>
      </c>
      <c r="F20" s="215" t="s">
        <v>28</v>
      </c>
      <c r="G20" s="215" t="s">
        <v>5</v>
      </c>
      <c r="H20" s="215" t="s">
        <v>30</v>
      </c>
      <c r="I20" s="215" t="s">
        <v>26</v>
      </c>
      <c r="J20" s="215" t="s">
        <v>22</v>
      </c>
      <c r="K20" s="215" t="s">
        <v>27</v>
      </c>
      <c r="L20" s="215" t="s">
        <v>21</v>
      </c>
    </row>
    <row r="21" spans="1:12" x14ac:dyDescent="0.25">
      <c r="A21" s="216"/>
      <c r="B21" s="216"/>
      <c r="C21" s="216"/>
      <c r="D21" s="216" t="s">
        <v>14</v>
      </c>
      <c r="E21" s="216" t="s">
        <v>15</v>
      </c>
      <c r="F21" s="216"/>
      <c r="G21" s="216"/>
      <c r="H21" s="216"/>
      <c r="I21" s="216"/>
      <c r="J21" s="216" t="s">
        <v>19</v>
      </c>
      <c r="K21" s="216"/>
      <c r="L21" s="216" t="s">
        <v>19</v>
      </c>
    </row>
    <row r="22" spans="1:12" ht="16.5" thickBot="1" x14ac:dyDescent="0.3">
      <c r="A22" s="217"/>
      <c r="B22" s="217"/>
      <c r="C22" s="217"/>
      <c r="D22" s="217"/>
      <c r="E22" s="217" t="s">
        <v>16</v>
      </c>
      <c r="F22" s="217"/>
      <c r="G22" s="217"/>
      <c r="H22" s="217"/>
      <c r="I22" s="217"/>
      <c r="J22" s="217"/>
      <c r="K22" s="217"/>
      <c r="L22" s="217"/>
    </row>
    <row r="23" spans="1:12" x14ac:dyDescent="0.25">
      <c r="A23" s="2" t="s">
        <v>6</v>
      </c>
      <c r="B23" s="5">
        <v>81.599999999999994</v>
      </c>
      <c r="C23" s="5">
        <v>15.3</v>
      </c>
      <c r="D23" s="5">
        <v>5.9</v>
      </c>
      <c r="E23" s="5">
        <v>9.5</v>
      </c>
      <c r="F23" s="5">
        <f>SUM(D23:E23)</f>
        <v>15.4</v>
      </c>
      <c r="G23" s="5">
        <v>10.8</v>
      </c>
      <c r="H23" s="6">
        <f>(F23/G23)-1</f>
        <v>0.42592592592592582</v>
      </c>
      <c r="I23" s="6">
        <f>F23/C23</f>
        <v>1.0065359477124183</v>
      </c>
      <c r="J23" s="6">
        <f t="shared" ref="J23:J27" si="6">G23/C23</f>
        <v>0.70588235294117652</v>
      </c>
      <c r="K23" s="6">
        <f t="shared" ref="K23:K27" si="7">F23/B23</f>
        <v>0.18872549019607845</v>
      </c>
      <c r="L23" s="6">
        <f t="shared" ref="L23:L27" si="8">G23/B23</f>
        <v>0.13235294117647062</v>
      </c>
    </row>
    <row r="24" spans="1:12" x14ac:dyDescent="0.25">
      <c r="A24" s="2" t="s">
        <v>7</v>
      </c>
      <c r="B24" s="5">
        <v>53.7</v>
      </c>
      <c r="C24" s="5">
        <v>11.2</v>
      </c>
      <c r="D24" s="5">
        <v>12.2</v>
      </c>
      <c r="E24" s="5">
        <v>7.9</v>
      </c>
      <c r="F24" s="5">
        <f>SUM(D24:E24)</f>
        <v>20.100000000000001</v>
      </c>
      <c r="G24" s="5">
        <v>8</v>
      </c>
      <c r="H24" s="6">
        <f t="shared" ref="H24:H27" si="9">(F24/G24)-1</f>
        <v>1.5125000000000002</v>
      </c>
      <c r="I24" s="6">
        <f t="shared" ref="I24:I27" si="10">F24/C24</f>
        <v>1.7946428571428574</v>
      </c>
      <c r="J24" s="6">
        <f t="shared" si="6"/>
        <v>0.7142857142857143</v>
      </c>
      <c r="K24" s="6">
        <f t="shared" si="7"/>
        <v>0.37430167597765363</v>
      </c>
      <c r="L24" s="6">
        <f t="shared" si="8"/>
        <v>0.14897579143389197</v>
      </c>
    </row>
    <row r="25" spans="1:12" x14ac:dyDescent="0.25">
      <c r="A25" s="2" t="s">
        <v>8</v>
      </c>
      <c r="B25" s="5">
        <v>42.3</v>
      </c>
      <c r="C25" s="5">
        <v>6.2</v>
      </c>
      <c r="D25" s="5">
        <v>9.1</v>
      </c>
      <c r="E25" s="5">
        <v>5.2</v>
      </c>
      <c r="F25" s="5">
        <f>SUM(D25:E25)</f>
        <v>14.3</v>
      </c>
      <c r="G25" s="5">
        <v>9.8000000000000007</v>
      </c>
      <c r="H25" s="6">
        <f t="shared" si="9"/>
        <v>0.45918367346938771</v>
      </c>
      <c r="I25" s="6">
        <f t="shared" si="10"/>
        <v>2.306451612903226</v>
      </c>
      <c r="J25" s="6">
        <f t="shared" si="6"/>
        <v>1.5806451612903227</v>
      </c>
      <c r="K25" s="6">
        <f t="shared" si="7"/>
        <v>0.33806146572104023</v>
      </c>
      <c r="L25" s="6">
        <f t="shared" si="8"/>
        <v>0.23167848699763596</v>
      </c>
    </row>
    <row r="26" spans="1:12" x14ac:dyDescent="0.25">
      <c r="A26" s="2" t="s">
        <v>9</v>
      </c>
      <c r="B26" s="5">
        <v>30.6</v>
      </c>
      <c r="C26" s="5">
        <v>2.4</v>
      </c>
      <c r="D26" s="5">
        <v>0.24</v>
      </c>
      <c r="E26" s="5">
        <v>1.9</v>
      </c>
      <c r="F26" s="5">
        <f>SUM(D26:E26)</f>
        <v>2.1399999999999997</v>
      </c>
      <c r="G26" s="5">
        <v>2.2999999999999998</v>
      </c>
      <c r="H26" s="6">
        <f t="shared" si="9"/>
        <v>-6.956521739130439E-2</v>
      </c>
      <c r="I26" s="6">
        <f t="shared" si="10"/>
        <v>0.89166666666666661</v>
      </c>
      <c r="J26" s="6">
        <f t="shared" si="6"/>
        <v>0.95833333333333326</v>
      </c>
      <c r="K26" s="6">
        <f t="shared" si="7"/>
        <v>6.9934640522875804E-2</v>
      </c>
      <c r="L26" s="6">
        <f t="shared" si="8"/>
        <v>7.5163398692810454E-2</v>
      </c>
    </row>
    <row r="27" spans="1:12" x14ac:dyDescent="0.25">
      <c r="A27" s="2" t="s">
        <v>18</v>
      </c>
      <c r="B27" s="5">
        <f t="shared" ref="B27:G27" si="11">SUM(B23:B26)</f>
        <v>208.20000000000002</v>
      </c>
      <c r="C27" s="5">
        <f t="shared" si="11"/>
        <v>35.1</v>
      </c>
      <c r="D27" s="5">
        <f t="shared" si="11"/>
        <v>27.44</v>
      </c>
      <c r="E27" s="5">
        <f t="shared" si="11"/>
        <v>24.499999999999996</v>
      </c>
      <c r="F27" s="5">
        <f t="shared" si="11"/>
        <v>51.94</v>
      </c>
      <c r="G27" s="5">
        <f t="shared" si="11"/>
        <v>30.900000000000002</v>
      </c>
      <c r="H27" s="6">
        <f t="shared" si="9"/>
        <v>0.68090614886731382</v>
      </c>
      <c r="I27" s="6">
        <f t="shared" si="10"/>
        <v>1.4797720797720797</v>
      </c>
      <c r="J27" s="6">
        <f t="shared" si="6"/>
        <v>0.88034188034188032</v>
      </c>
      <c r="K27" s="6">
        <f t="shared" si="7"/>
        <v>0.24947166186359268</v>
      </c>
      <c r="L27" s="6">
        <f t="shared" si="8"/>
        <v>0.14841498559077809</v>
      </c>
    </row>
    <row r="28" spans="1:12" x14ac:dyDescent="0.25">
      <c r="A28" s="3" t="s">
        <v>39</v>
      </c>
    </row>
    <row r="30" spans="1:12" ht="16.5" thickBot="1" x14ac:dyDescent="0.3"/>
    <row r="31" spans="1:12" x14ac:dyDescent="0.25">
      <c r="A31" s="206" t="s">
        <v>12</v>
      </c>
      <c r="B31" s="207"/>
      <c r="C31" s="207"/>
      <c r="D31" s="207"/>
      <c r="E31" s="207"/>
      <c r="F31" s="207"/>
      <c r="G31" s="207"/>
      <c r="H31" s="207"/>
      <c r="I31" s="207"/>
      <c r="J31" s="207"/>
      <c r="K31" s="207"/>
      <c r="L31" s="208"/>
    </row>
    <row r="32" spans="1:12" x14ac:dyDescent="0.25">
      <c r="A32" s="209" t="s">
        <v>13</v>
      </c>
      <c r="B32" s="210"/>
      <c r="C32" s="210"/>
      <c r="D32" s="210"/>
      <c r="E32" s="210"/>
      <c r="F32" s="210"/>
      <c r="G32" s="210"/>
      <c r="H32" s="210"/>
      <c r="I32" s="210"/>
      <c r="J32" s="210"/>
      <c r="K32" s="210"/>
      <c r="L32" s="211"/>
    </row>
    <row r="33" spans="1:12" ht="16.5" thickBot="1" x14ac:dyDescent="0.3">
      <c r="A33" s="212" t="s">
        <v>40</v>
      </c>
      <c r="B33" s="213"/>
      <c r="C33" s="213"/>
      <c r="D33" s="213"/>
      <c r="E33" s="213"/>
      <c r="F33" s="213"/>
      <c r="G33" s="213"/>
      <c r="H33" s="213"/>
      <c r="I33" s="213"/>
      <c r="J33" s="213"/>
      <c r="K33" s="213"/>
      <c r="L33" s="214"/>
    </row>
    <row r="34" spans="1:12" x14ac:dyDescent="0.25">
      <c r="A34" s="215" t="s">
        <v>3</v>
      </c>
      <c r="B34" s="215" t="s">
        <v>4</v>
      </c>
      <c r="C34" s="215" t="s">
        <v>20</v>
      </c>
      <c r="D34" s="215" t="s">
        <v>24</v>
      </c>
      <c r="E34" s="215" t="s">
        <v>23</v>
      </c>
      <c r="F34" s="215" t="s">
        <v>28</v>
      </c>
      <c r="G34" s="215" t="s">
        <v>5</v>
      </c>
      <c r="H34" s="215" t="s">
        <v>30</v>
      </c>
      <c r="I34" s="215" t="s">
        <v>26</v>
      </c>
      <c r="J34" s="215" t="s">
        <v>22</v>
      </c>
      <c r="K34" s="215" t="s">
        <v>27</v>
      </c>
      <c r="L34" s="215" t="s">
        <v>21</v>
      </c>
    </row>
    <row r="35" spans="1:12" x14ac:dyDescent="0.25">
      <c r="A35" s="216"/>
      <c r="B35" s="216"/>
      <c r="C35" s="216"/>
      <c r="D35" s="216" t="s">
        <v>14</v>
      </c>
      <c r="E35" s="216" t="s">
        <v>15</v>
      </c>
      <c r="F35" s="216"/>
      <c r="G35" s="216"/>
      <c r="H35" s="216"/>
      <c r="I35" s="216"/>
      <c r="J35" s="216" t="s">
        <v>19</v>
      </c>
      <c r="K35" s="216"/>
      <c r="L35" s="216" t="s">
        <v>19</v>
      </c>
    </row>
    <row r="36" spans="1:12" ht="16.5" thickBot="1" x14ac:dyDescent="0.3">
      <c r="A36" s="217"/>
      <c r="B36" s="217"/>
      <c r="C36" s="217"/>
      <c r="D36" s="217"/>
      <c r="E36" s="217" t="s">
        <v>16</v>
      </c>
      <c r="F36" s="217"/>
      <c r="G36" s="217"/>
      <c r="H36" s="217"/>
      <c r="I36" s="217"/>
      <c r="J36" s="217"/>
      <c r="K36" s="217"/>
      <c r="L36" s="217"/>
    </row>
    <row r="37" spans="1:12" x14ac:dyDescent="0.25">
      <c r="A37" s="2" t="s">
        <v>6</v>
      </c>
      <c r="B37" s="5">
        <f>B9/10</f>
        <v>68.400000000000006</v>
      </c>
      <c r="C37" s="5">
        <f>C9/10</f>
        <v>12.2</v>
      </c>
      <c r="D37" s="5">
        <f>D9/10</f>
        <v>4.5</v>
      </c>
      <c r="E37" s="5">
        <f>E9/10</f>
        <v>7</v>
      </c>
      <c r="F37" s="5">
        <f>D37+E37</f>
        <v>11.5</v>
      </c>
      <c r="G37" s="5">
        <f>G9/10</f>
        <v>8.4</v>
      </c>
      <c r="H37" s="6">
        <f>(F37/G37)-1</f>
        <v>0.36904761904761907</v>
      </c>
      <c r="I37" s="6">
        <f>F37/C37</f>
        <v>0.94262295081967218</v>
      </c>
      <c r="J37" s="6">
        <f>G37/C37</f>
        <v>0.68852459016393452</v>
      </c>
      <c r="K37" s="6">
        <f>F37/B37</f>
        <v>0.16812865497076021</v>
      </c>
      <c r="L37" s="6">
        <f>G37/B37</f>
        <v>0.12280701754385964</v>
      </c>
    </row>
    <row r="38" spans="1:12" x14ac:dyDescent="0.25">
      <c r="A38" s="2" t="s">
        <v>7</v>
      </c>
      <c r="B38" s="5">
        <f t="shared" ref="B38:E40" si="12">B10/10</f>
        <v>54.8</v>
      </c>
      <c r="C38" s="5">
        <f t="shared" si="12"/>
        <v>11.6</v>
      </c>
      <c r="D38" s="5">
        <f t="shared" si="12"/>
        <v>5.6</v>
      </c>
      <c r="E38" s="5">
        <f t="shared" si="12"/>
        <v>6.8</v>
      </c>
      <c r="F38" s="5">
        <f t="shared" ref="F38:F41" si="13">D38+E38</f>
        <v>12.399999999999999</v>
      </c>
      <c r="G38" s="5">
        <f t="shared" ref="G38:G40" si="14">G10/10</f>
        <v>8.1</v>
      </c>
      <c r="H38" s="6">
        <f t="shared" ref="H38:H41" si="15">(F38/G38)-1</f>
        <v>0.53086419753086411</v>
      </c>
      <c r="I38" s="6">
        <f t="shared" ref="I38:I41" si="16">F38/C38</f>
        <v>1.0689655172413792</v>
      </c>
      <c r="J38" s="6">
        <f t="shared" ref="J38:J41" si="17">G38/C38</f>
        <v>0.69827586206896552</v>
      </c>
      <c r="K38" s="6">
        <f t="shared" ref="K38:K41" si="18">F38/B38</f>
        <v>0.2262773722627737</v>
      </c>
      <c r="L38" s="6">
        <f t="shared" ref="L38:L41" si="19">G38/B38</f>
        <v>0.1478102189781022</v>
      </c>
    </row>
    <row r="39" spans="1:12" x14ac:dyDescent="0.25">
      <c r="A39" s="2" t="s">
        <v>8</v>
      </c>
      <c r="B39" s="5">
        <f t="shared" si="12"/>
        <v>39.799999999999997</v>
      </c>
      <c r="C39" s="5">
        <f t="shared" si="12"/>
        <v>6.1</v>
      </c>
      <c r="D39" s="5">
        <f t="shared" si="12"/>
        <v>3.5</v>
      </c>
      <c r="E39" s="5">
        <f t="shared" si="12"/>
        <v>4.7</v>
      </c>
      <c r="F39" s="5">
        <f t="shared" si="13"/>
        <v>8.1999999999999993</v>
      </c>
      <c r="G39" s="5">
        <f t="shared" si="14"/>
        <v>8</v>
      </c>
      <c r="H39" s="6">
        <f t="shared" si="15"/>
        <v>2.4999999999999911E-2</v>
      </c>
      <c r="I39" s="6">
        <f t="shared" si="16"/>
        <v>1.3442622950819672</v>
      </c>
      <c r="J39" s="6">
        <f t="shared" si="17"/>
        <v>1.3114754098360657</v>
      </c>
      <c r="K39" s="6">
        <f t="shared" si="18"/>
        <v>0.20603015075376885</v>
      </c>
      <c r="L39" s="6">
        <f t="shared" si="19"/>
        <v>0.20100502512562815</v>
      </c>
    </row>
    <row r="40" spans="1:12" x14ac:dyDescent="0.25">
      <c r="A40" s="2" t="s">
        <v>9</v>
      </c>
      <c r="B40" s="5">
        <f t="shared" si="12"/>
        <v>40</v>
      </c>
      <c r="C40" s="5">
        <f t="shared" si="12"/>
        <v>5.9</v>
      </c>
      <c r="D40" s="5">
        <f t="shared" si="12"/>
        <v>2.8</v>
      </c>
      <c r="E40" s="5">
        <f t="shared" si="12"/>
        <v>3.7</v>
      </c>
      <c r="F40" s="5">
        <f t="shared" si="13"/>
        <v>6.5</v>
      </c>
      <c r="G40" s="5">
        <f t="shared" si="14"/>
        <v>4.5</v>
      </c>
      <c r="H40" s="6">
        <f t="shared" si="15"/>
        <v>0.44444444444444442</v>
      </c>
      <c r="I40" s="6">
        <f t="shared" si="16"/>
        <v>1.1016949152542372</v>
      </c>
      <c r="J40" s="6">
        <f t="shared" si="17"/>
        <v>0.76271186440677963</v>
      </c>
      <c r="K40" s="6">
        <f t="shared" si="18"/>
        <v>0.16250000000000001</v>
      </c>
      <c r="L40" s="6">
        <f t="shared" si="19"/>
        <v>0.1125</v>
      </c>
    </row>
    <row r="41" spans="1:12" x14ac:dyDescent="0.25">
      <c r="A41" s="2" t="s">
        <v>18</v>
      </c>
      <c r="B41" s="5">
        <f>SUM(B37:B40)</f>
        <v>203</v>
      </c>
      <c r="C41" s="5">
        <f>SUM(C37:C40)</f>
        <v>35.799999999999997</v>
      </c>
      <c r="D41" s="5">
        <f>SUM(D37:D40)</f>
        <v>16.399999999999999</v>
      </c>
      <c r="E41" s="5">
        <f>SUM(E37:E40)</f>
        <v>22.2</v>
      </c>
      <c r="F41" s="5">
        <f t="shared" si="13"/>
        <v>38.599999999999994</v>
      </c>
      <c r="G41" s="5">
        <f>SUM(G37:G40)</f>
        <v>29</v>
      </c>
      <c r="H41" s="6">
        <f t="shared" si="15"/>
        <v>0.33103448275862046</v>
      </c>
      <c r="I41" s="6">
        <f t="shared" si="16"/>
        <v>1.0782122905027933</v>
      </c>
      <c r="J41" s="6">
        <f t="shared" si="17"/>
        <v>0.8100558659217878</v>
      </c>
      <c r="K41" s="6">
        <f t="shared" si="18"/>
        <v>0.19014778325123149</v>
      </c>
      <c r="L41" s="6">
        <f t="shared" si="19"/>
        <v>0.14285714285714285</v>
      </c>
    </row>
    <row r="42" spans="1:12" x14ac:dyDescent="0.25">
      <c r="A42" s="17" t="s">
        <v>45</v>
      </c>
    </row>
    <row r="44" spans="1:12" ht="16.5" thickBot="1" x14ac:dyDescent="0.3"/>
    <row r="45" spans="1:12" x14ac:dyDescent="0.25">
      <c r="A45" s="218" t="s">
        <v>12</v>
      </c>
      <c r="B45" s="219"/>
      <c r="C45" s="219"/>
      <c r="D45" s="219"/>
      <c r="E45" s="219"/>
      <c r="F45" s="219"/>
      <c r="G45" s="219"/>
      <c r="H45" s="219"/>
      <c r="I45" s="219"/>
      <c r="J45" s="219"/>
      <c r="K45" s="219"/>
      <c r="L45" s="220"/>
    </row>
    <row r="46" spans="1:12" x14ac:dyDescent="0.25">
      <c r="A46" s="224" t="s">
        <v>13</v>
      </c>
      <c r="B46" s="225"/>
      <c r="C46" s="225"/>
      <c r="D46" s="225"/>
      <c r="E46" s="225"/>
      <c r="F46" s="225"/>
      <c r="G46" s="225"/>
      <c r="H46" s="225"/>
      <c r="I46" s="225"/>
      <c r="J46" s="225"/>
      <c r="K46" s="225"/>
      <c r="L46" s="226"/>
    </row>
    <row r="47" spans="1:12" ht="16.5" thickBot="1" x14ac:dyDescent="0.3">
      <c r="A47" s="221" t="s">
        <v>44</v>
      </c>
      <c r="B47" s="222"/>
      <c r="C47" s="222"/>
      <c r="D47" s="222"/>
      <c r="E47" s="222"/>
      <c r="F47" s="222"/>
      <c r="G47" s="222"/>
      <c r="H47" s="222"/>
      <c r="I47" s="222"/>
      <c r="J47" s="222"/>
      <c r="K47" s="222"/>
      <c r="L47" s="223"/>
    </row>
    <row r="48" spans="1:12" x14ac:dyDescent="0.25">
      <c r="A48" s="227" t="s">
        <v>3</v>
      </c>
      <c r="B48" s="227" t="s">
        <v>4</v>
      </c>
      <c r="C48" s="227" t="s">
        <v>20</v>
      </c>
      <c r="D48" s="227" t="s">
        <v>24</v>
      </c>
      <c r="E48" s="227" t="s">
        <v>23</v>
      </c>
      <c r="F48" s="227" t="s">
        <v>28</v>
      </c>
      <c r="G48" s="227" t="s">
        <v>5</v>
      </c>
      <c r="H48" s="227" t="s">
        <v>30</v>
      </c>
      <c r="I48" s="227" t="s">
        <v>26</v>
      </c>
      <c r="J48" s="227" t="s">
        <v>22</v>
      </c>
      <c r="K48" s="227" t="s">
        <v>27</v>
      </c>
      <c r="L48" s="227" t="s">
        <v>21</v>
      </c>
    </row>
    <row r="49" spans="1:13" x14ac:dyDescent="0.25">
      <c r="A49" s="228"/>
      <c r="B49" s="228"/>
      <c r="C49" s="228"/>
      <c r="D49" s="228"/>
      <c r="E49" s="228"/>
      <c r="F49" s="228"/>
      <c r="G49" s="228"/>
      <c r="H49" s="228"/>
      <c r="I49" s="228"/>
      <c r="J49" s="228"/>
      <c r="K49" s="228"/>
      <c r="L49" s="228"/>
    </row>
    <row r="50" spans="1:13" ht="16.5" thickBot="1" x14ac:dyDescent="0.3">
      <c r="A50" s="229"/>
      <c r="B50" s="229"/>
      <c r="C50" s="229"/>
      <c r="D50" s="229"/>
      <c r="E50" s="229"/>
      <c r="F50" s="229"/>
      <c r="G50" s="229"/>
      <c r="H50" s="229"/>
      <c r="I50" s="229"/>
      <c r="J50" s="229"/>
      <c r="K50" s="229"/>
      <c r="L50" s="229"/>
    </row>
    <row r="51" spans="1:13" x14ac:dyDescent="0.25">
      <c r="A51" s="15" t="s">
        <v>6</v>
      </c>
      <c r="B51" s="16">
        <v>76.5</v>
      </c>
      <c r="C51" s="16">
        <v>1.3</v>
      </c>
      <c r="D51" s="16">
        <v>6.4</v>
      </c>
      <c r="E51" s="16">
        <v>8.9</v>
      </c>
      <c r="F51" s="16">
        <f>SUM(D51:E51)</f>
        <v>15.3</v>
      </c>
      <c r="G51" s="16">
        <v>10.6</v>
      </c>
      <c r="H51" s="6">
        <f>(F51/G51)-1</f>
        <v>0.44339622641509435</v>
      </c>
      <c r="I51" s="6">
        <f t="shared" ref="I51:I55" si="20">F51/C51</f>
        <v>11.76923076923077</v>
      </c>
      <c r="J51" s="6">
        <f t="shared" ref="J51:J55" si="21">G51/C51</f>
        <v>8.1538461538461533</v>
      </c>
      <c r="K51" s="6">
        <f t="shared" ref="K51:K55" si="22">F51/B51</f>
        <v>0.2</v>
      </c>
      <c r="L51" s="6">
        <f>G51/B51</f>
        <v>0.13856209150326798</v>
      </c>
    </row>
    <row r="52" spans="1:13" x14ac:dyDescent="0.25">
      <c r="A52" s="15" t="s">
        <v>7</v>
      </c>
      <c r="B52" s="16">
        <v>52.6</v>
      </c>
      <c r="C52" s="16">
        <v>21.2</v>
      </c>
      <c r="D52" s="16">
        <v>5</v>
      </c>
      <c r="E52" s="16">
        <v>7.7</v>
      </c>
      <c r="F52" s="16">
        <f t="shared" ref="F52:F54" si="23">SUM(D52:E52)</f>
        <v>12.7</v>
      </c>
      <c r="G52" s="16">
        <v>7.7</v>
      </c>
      <c r="H52" s="6">
        <f t="shared" ref="H52:H55" si="24">(F52/G52)-1</f>
        <v>0.64935064935064912</v>
      </c>
      <c r="I52" s="6">
        <f t="shared" si="20"/>
        <v>0.59905660377358494</v>
      </c>
      <c r="J52" s="6">
        <f t="shared" si="21"/>
        <v>0.36320754716981135</v>
      </c>
      <c r="K52" s="6">
        <f t="shared" si="22"/>
        <v>0.24144486692015207</v>
      </c>
      <c r="L52" s="6">
        <f t="shared" ref="L52:L55" si="25">G52/B52</f>
        <v>0.14638783269961977</v>
      </c>
    </row>
    <row r="53" spans="1:13" x14ac:dyDescent="0.25">
      <c r="A53" s="15" t="s">
        <v>8</v>
      </c>
      <c r="B53" s="16">
        <v>40.1</v>
      </c>
      <c r="C53" s="16">
        <v>2.4</v>
      </c>
      <c r="D53" s="16">
        <v>4</v>
      </c>
      <c r="E53" s="16">
        <v>5.2</v>
      </c>
      <c r="F53" s="16">
        <f t="shared" si="23"/>
        <v>9.1999999999999993</v>
      </c>
      <c r="G53" s="16">
        <v>10.199999999999999</v>
      </c>
      <c r="H53" s="6">
        <f t="shared" si="24"/>
        <v>-9.8039215686274495E-2</v>
      </c>
      <c r="I53" s="6">
        <f t="shared" si="20"/>
        <v>3.833333333333333</v>
      </c>
      <c r="J53" s="6">
        <f t="shared" si="21"/>
        <v>4.25</v>
      </c>
      <c r="K53" s="6">
        <f t="shared" si="22"/>
        <v>0.22942643391521195</v>
      </c>
      <c r="L53" s="6">
        <f t="shared" si="25"/>
        <v>0.25436408977556108</v>
      </c>
    </row>
    <row r="54" spans="1:13" x14ac:dyDescent="0.25">
      <c r="A54" s="15" t="s">
        <v>9</v>
      </c>
      <c r="B54" s="16">
        <v>27.4</v>
      </c>
      <c r="C54" s="16">
        <v>0.48</v>
      </c>
      <c r="D54" s="16">
        <v>0.1</v>
      </c>
      <c r="E54" s="16">
        <v>1.9</v>
      </c>
      <c r="F54" s="16">
        <f t="shared" si="23"/>
        <v>2</v>
      </c>
      <c r="G54" s="16">
        <v>2.2999999999999998</v>
      </c>
      <c r="H54" s="6">
        <f t="shared" si="24"/>
        <v>-0.13043478260869557</v>
      </c>
      <c r="I54" s="6">
        <f t="shared" si="20"/>
        <v>4.166666666666667</v>
      </c>
      <c r="J54" s="6">
        <f t="shared" si="21"/>
        <v>4.7916666666666661</v>
      </c>
      <c r="K54" s="6">
        <f t="shared" si="22"/>
        <v>7.2992700729927015E-2</v>
      </c>
      <c r="L54" s="6">
        <f t="shared" si="25"/>
        <v>8.3941605839416053E-2</v>
      </c>
    </row>
    <row r="55" spans="1:13" x14ac:dyDescent="0.25">
      <c r="A55" s="15" t="s">
        <v>18</v>
      </c>
      <c r="B55" s="16">
        <f>SUM(B51:B54)</f>
        <v>196.6</v>
      </c>
      <c r="C55" s="16">
        <f>SUM(C51:C54)</f>
        <v>25.38</v>
      </c>
      <c r="D55" s="16">
        <f t="shared" ref="D55:F55" si="26">SUM(D51:D54)</f>
        <v>15.5</v>
      </c>
      <c r="E55" s="16">
        <f t="shared" si="26"/>
        <v>23.7</v>
      </c>
      <c r="F55" s="16">
        <f t="shared" si="26"/>
        <v>39.200000000000003</v>
      </c>
      <c r="G55" s="16">
        <f>SUM(G51:G54)</f>
        <v>30.8</v>
      </c>
      <c r="H55" s="6">
        <f t="shared" si="24"/>
        <v>0.27272727272727271</v>
      </c>
      <c r="I55" s="6">
        <f t="shared" si="20"/>
        <v>1.5445232466509065</v>
      </c>
      <c r="J55" s="6">
        <f t="shared" si="21"/>
        <v>1.2135539795114263</v>
      </c>
      <c r="K55" s="6">
        <f t="shared" si="22"/>
        <v>0.19938962360122078</v>
      </c>
      <c r="L55" s="6">
        <f t="shared" si="25"/>
        <v>0.15666327568667346</v>
      </c>
    </row>
    <row r="56" spans="1:13" x14ac:dyDescent="0.25">
      <c r="A56" s="17" t="s">
        <v>45</v>
      </c>
      <c r="B56" s="17"/>
      <c r="C56" s="17"/>
      <c r="D56" s="17"/>
      <c r="E56" s="18"/>
      <c r="F56" s="18"/>
      <c r="G56" s="18"/>
      <c r="H56" s="18"/>
      <c r="I56" s="18"/>
      <c r="J56" s="18"/>
      <c r="K56" s="18"/>
      <c r="L56" s="18"/>
    </row>
    <row r="58" spans="1:13" ht="38.25" x14ac:dyDescent="0.25">
      <c r="A58" s="15" t="s">
        <v>251</v>
      </c>
    </row>
    <row r="59" spans="1:13" x14ac:dyDescent="0.25">
      <c r="A59" t="s">
        <v>248</v>
      </c>
    </row>
    <row r="60" spans="1:13" ht="15.75" customHeight="1" x14ac:dyDescent="0.25">
      <c r="A60" t="s">
        <v>249</v>
      </c>
    </row>
    <row r="61" spans="1:13" ht="15.75" customHeight="1" x14ac:dyDescent="0.25"/>
    <row r="62" spans="1:13" ht="16.5" thickBot="1" x14ac:dyDescent="0.3">
      <c r="A62" s="111" t="s">
        <v>6</v>
      </c>
    </row>
    <row r="63" spans="1:13" x14ac:dyDescent="0.25">
      <c r="A63" s="102"/>
      <c r="B63" s="102">
        <v>2008</v>
      </c>
      <c r="C63" s="103">
        <v>2009</v>
      </c>
      <c r="D63" s="103">
        <v>2010</v>
      </c>
      <c r="E63" s="103">
        <v>2011</v>
      </c>
      <c r="F63" s="103">
        <v>2012</v>
      </c>
      <c r="G63" s="102">
        <v>2013</v>
      </c>
      <c r="H63" s="103">
        <v>2014</v>
      </c>
      <c r="I63" s="103">
        <v>2015</v>
      </c>
      <c r="J63" s="103">
        <v>2016</v>
      </c>
      <c r="K63" s="103">
        <v>2017</v>
      </c>
      <c r="L63" s="104">
        <v>2018</v>
      </c>
      <c r="M63" s="104" t="s">
        <v>280</v>
      </c>
    </row>
    <row r="64" spans="1:13" x14ac:dyDescent="0.25">
      <c r="A64" s="110" t="s">
        <v>246</v>
      </c>
      <c r="B64" s="105">
        <v>5024</v>
      </c>
      <c r="C64" s="106">
        <v>5327</v>
      </c>
      <c r="D64" s="106">
        <v>5804</v>
      </c>
      <c r="E64" s="106">
        <v>6156</v>
      </c>
      <c r="F64" s="106">
        <v>6614</v>
      </c>
      <c r="G64" s="105">
        <v>7286</v>
      </c>
      <c r="H64" s="106">
        <v>7768</v>
      </c>
      <c r="I64" s="106">
        <v>8173</v>
      </c>
      <c r="J64" s="106">
        <v>8621</v>
      </c>
      <c r="K64" s="106">
        <v>8943</v>
      </c>
      <c r="L64" s="116">
        <v>9494</v>
      </c>
      <c r="M64" s="116">
        <f>L64-K64</f>
        <v>551</v>
      </c>
    </row>
    <row r="65" spans="1:14" x14ac:dyDescent="0.25">
      <c r="A65" s="110" t="s">
        <v>247</v>
      </c>
      <c r="B65" s="105">
        <v>6651</v>
      </c>
      <c r="C65" s="106">
        <v>2130</v>
      </c>
      <c r="D65" s="106">
        <v>2797</v>
      </c>
      <c r="E65" s="106">
        <v>2525</v>
      </c>
      <c r="F65" s="106">
        <v>12919</v>
      </c>
      <c r="G65" s="105">
        <v>3538</v>
      </c>
      <c r="H65" s="106">
        <v>7124</v>
      </c>
      <c r="I65" s="106">
        <v>5290</v>
      </c>
      <c r="J65" s="106">
        <v>8979</v>
      </c>
      <c r="K65" s="106">
        <v>6358</v>
      </c>
      <c r="L65" s="116">
        <v>5868</v>
      </c>
      <c r="M65" s="116">
        <f>L65-K65</f>
        <v>-490</v>
      </c>
    </row>
    <row r="66" spans="1:14" x14ac:dyDescent="0.25">
      <c r="A66" s="110" t="s">
        <v>250</v>
      </c>
      <c r="B66" s="105">
        <f t="shared" ref="B66:L66" si="27">SUM(B64:B65)</f>
        <v>11675</v>
      </c>
      <c r="C66" s="105">
        <f t="shared" si="27"/>
        <v>7457</v>
      </c>
      <c r="D66" s="105">
        <f t="shared" si="27"/>
        <v>8601</v>
      </c>
      <c r="E66" s="105">
        <f t="shared" si="27"/>
        <v>8681</v>
      </c>
      <c r="F66" s="105">
        <f t="shared" si="27"/>
        <v>19533</v>
      </c>
      <c r="G66" s="105">
        <f t="shared" si="27"/>
        <v>10824</v>
      </c>
      <c r="H66" s="105">
        <f t="shared" si="27"/>
        <v>14892</v>
      </c>
      <c r="I66" s="105">
        <f t="shared" si="27"/>
        <v>13463</v>
      </c>
      <c r="J66" s="105">
        <f t="shared" si="27"/>
        <v>17600</v>
      </c>
      <c r="K66" s="105">
        <f t="shared" si="27"/>
        <v>15301</v>
      </c>
      <c r="L66" s="110">
        <f t="shared" si="27"/>
        <v>15362</v>
      </c>
      <c r="M66" s="116">
        <f>L66-K66</f>
        <v>61</v>
      </c>
    </row>
    <row r="67" spans="1:14" x14ac:dyDescent="0.25">
      <c r="A67" s="110" t="s">
        <v>5</v>
      </c>
      <c r="B67" s="105">
        <v>7577</v>
      </c>
      <c r="C67" s="106">
        <v>6986</v>
      </c>
      <c r="D67" s="106">
        <v>6844</v>
      </c>
      <c r="E67" s="106">
        <v>7548</v>
      </c>
      <c r="F67" s="106">
        <v>7665</v>
      </c>
      <c r="G67" s="105">
        <v>8183</v>
      </c>
      <c r="H67" s="106">
        <v>8494</v>
      </c>
      <c r="I67" s="106">
        <v>9046</v>
      </c>
      <c r="J67" s="106">
        <v>9143</v>
      </c>
      <c r="K67" s="106">
        <v>10595</v>
      </c>
      <c r="L67" s="107">
        <v>10775</v>
      </c>
      <c r="M67" s="116">
        <f>L67-K67</f>
        <v>180</v>
      </c>
    </row>
    <row r="69" spans="1:14" x14ac:dyDescent="0.25">
      <c r="N69" s="109"/>
    </row>
    <row r="70" spans="1:14" ht="16.5" thickBot="1" x14ac:dyDescent="0.3">
      <c r="A70" s="111" t="s">
        <v>8</v>
      </c>
    </row>
    <row r="71" spans="1:14" x14ac:dyDescent="0.25">
      <c r="A71" s="102"/>
      <c r="B71" s="102">
        <v>2008</v>
      </c>
      <c r="C71" s="103">
        <v>2009</v>
      </c>
      <c r="D71" s="103">
        <v>2010</v>
      </c>
      <c r="E71" s="103">
        <v>2011</v>
      </c>
      <c r="F71" s="103">
        <v>2012</v>
      </c>
      <c r="G71" s="102">
        <v>2013</v>
      </c>
      <c r="H71" s="103">
        <v>2014</v>
      </c>
      <c r="I71" s="103">
        <v>2015</v>
      </c>
      <c r="J71" s="103">
        <v>2016</v>
      </c>
      <c r="K71" s="103">
        <v>2017</v>
      </c>
      <c r="L71" s="104">
        <v>2018</v>
      </c>
      <c r="M71" s="104" t="s">
        <v>280</v>
      </c>
    </row>
    <row r="72" spans="1:14" x14ac:dyDescent="0.25">
      <c r="A72" s="110" t="s">
        <v>246</v>
      </c>
      <c r="B72" s="105">
        <v>3279</v>
      </c>
      <c r="C72" s="106">
        <v>3215</v>
      </c>
      <c r="D72" s="106">
        <v>4734</v>
      </c>
      <c r="E72" s="106">
        <v>4691</v>
      </c>
      <c r="F72" s="112">
        <v>5116</v>
      </c>
      <c r="G72" s="105">
        <v>5157</v>
      </c>
      <c r="H72" s="106">
        <v>5170</v>
      </c>
      <c r="I72" s="106">
        <v>5117</v>
      </c>
      <c r="J72" s="106">
        <v>5124</v>
      </c>
      <c r="K72" s="108">
        <v>5167</v>
      </c>
      <c r="L72" s="116">
        <v>5172</v>
      </c>
      <c r="M72" s="116">
        <f>L72-K72</f>
        <v>5</v>
      </c>
    </row>
    <row r="73" spans="1:14" x14ac:dyDescent="0.25">
      <c r="A73" s="110" t="s">
        <v>247</v>
      </c>
      <c r="B73" s="105">
        <v>2725</v>
      </c>
      <c r="C73" s="106">
        <v>0</v>
      </c>
      <c r="D73" s="106">
        <v>1593</v>
      </c>
      <c r="E73" s="106">
        <v>1921</v>
      </c>
      <c r="F73" s="112">
        <v>2951</v>
      </c>
      <c r="G73" s="105">
        <v>6516</v>
      </c>
      <c r="H73" s="106">
        <v>7703</v>
      </c>
      <c r="I73" s="106">
        <v>4186</v>
      </c>
      <c r="J73" s="106">
        <v>3434</v>
      </c>
      <c r="K73" s="108">
        <v>4014</v>
      </c>
      <c r="L73" s="116">
        <v>9091</v>
      </c>
      <c r="M73" s="116">
        <f>L73-K73</f>
        <v>5077</v>
      </c>
    </row>
    <row r="74" spans="1:14" ht="15.75" customHeight="1" x14ac:dyDescent="0.25">
      <c r="A74" s="110" t="s">
        <v>250</v>
      </c>
      <c r="B74" s="105">
        <f t="shared" ref="B74:L74" si="28">SUM(B72:B73)</f>
        <v>6004</v>
      </c>
      <c r="C74" s="105">
        <f t="shared" si="28"/>
        <v>3215</v>
      </c>
      <c r="D74" s="105">
        <f t="shared" si="28"/>
        <v>6327</v>
      </c>
      <c r="E74" s="105">
        <f t="shared" si="28"/>
        <v>6612</v>
      </c>
      <c r="F74" s="105">
        <f t="shared" si="28"/>
        <v>8067</v>
      </c>
      <c r="G74" s="105">
        <f t="shared" si="28"/>
        <v>11673</v>
      </c>
      <c r="H74" s="105">
        <f t="shared" si="28"/>
        <v>12873</v>
      </c>
      <c r="I74" s="105">
        <f t="shared" si="28"/>
        <v>9303</v>
      </c>
      <c r="J74" s="105">
        <f t="shared" si="28"/>
        <v>8558</v>
      </c>
      <c r="K74" s="105">
        <f t="shared" si="28"/>
        <v>9181</v>
      </c>
      <c r="L74" s="110">
        <f t="shared" si="28"/>
        <v>14263</v>
      </c>
      <c r="M74" s="116">
        <f>L74-K74</f>
        <v>5082</v>
      </c>
    </row>
    <row r="75" spans="1:14" ht="16.5" thickBot="1" x14ac:dyDescent="0.3">
      <c r="A75" s="110" t="s">
        <v>5</v>
      </c>
      <c r="B75" s="105">
        <v>4805</v>
      </c>
      <c r="C75" s="106">
        <v>5139</v>
      </c>
      <c r="D75" s="106">
        <v>11111</v>
      </c>
      <c r="E75" s="106">
        <v>8467</v>
      </c>
      <c r="F75" s="112">
        <v>8168</v>
      </c>
      <c r="G75" s="113">
        <v>7503</v>
      </c>
      <c r="H75" s="114">
        <v>7180</v>
      </c>
      <c r="I75" s="114">
        <v>6704</v>
      </c>
      <c r="J75" s="114">
        <v>10124</v>
      </c>
      <c r="K75" s="115">
        <v>10208</v>
      </c>
      <c r="L75" s="107">
        <v>9752</v>
      </c>
      <c r="M75" s="116">
        <f>L75-K75</f>
        <v>-456</v>
      </c>
    </row>
    <row r="77" spans="1:14" x14ac:dyDescent="0.25">
      <c r="K77" s="132">
        <f>SUM(K73+K81)</f>
        <v>9014</v>
      </c>
      <c r="N77" s="132"/>
    </row>
    <row r="78" spans="1:14" ht="16.5" thickBot="1" x14ac:dyDescent="0.3">
      <c r="A78" s="111" t="s">
        <v>7</v>
      </c>
    </row>
    <row r="79" spans="1:14" x14ac:dyDescent="0.25">
      <c r="A79" s="102"/>
      <c r="B79" s="102">
        <v>2008</v>
      </c>
      <c r="C79" s="103">
        <v>2009</v>
      </c>
      <c r="D79" s="103">
        <v>2010</v>
      </c>
      <c r="E79" s="103">
        <v>2011</v>
      </c>
      <c r="F79" s="103">
        <v>2012</v>
      </c>
      <c r="G79" s="102">
        <v>2013</v>
      </c>
      <c r="H79" s="103">
        <v>2014</v>
      </c>
      <c r="I79" s="103">
        <v>2015</v>
      </c>
      <c r="J79" s="103">
        <v>2016</v>
      </c>
      <c r="K79" s="103">
        <v>2017</v>
      </c>
      <c r="L79" s="104">
        <v>2018</v>
      </c>
      <c r="M79" s="104" t="s">
        <v>280</v>
      </c>
    </row>
    <row r="80" spans="1:14" x14ac:dyDescent="0.25">
      <c r="A80" s="110" t="s">
        <v>246</v>
      </c>
      <c r="B80" s="105">
        <v>8541</v>
      </c>
      <c r="C80" s="106">
        <v>5548</v>
      </c>
      <c r="D80" s="106">
        <v>6088</v>
      </c>
      <c r="E80" s="106">
        <v>6234</v>
      </c>
      <c r="F80" s="106">
        <v>6534</v>
      </c>
      <c r="G80" s="105">
        <v>6580</v>
      </c>
      <c r="H80" s="106">
        <v>6609</v>
      </c>
      <c r="I80" s="106">
        <v>6940</v>
      </c>
      <c r="J80" s="106">
        <v>7317</v>
      </c>
      <c r="K80" s="112">
        <v>7659</v>
      </c>
      <c r="L80" s="116">
        <v>7978</v>
      </c>
      <c r="M80" s="116">
        <f>L80-K80</f>
        <v>319</v>
      </c>
    </row>
    <row r="81" spans="1:13" x14ac:dyDescent="0.25">
      <c r="A81" s="110" t="s">
        <v>247</v>
      </c>
      <c r="B81" s="105">
        <v>500</v>
      </c>
      <c r="C81" s="106">
        <v>0</v>
      </c>
      <c r="D81" s="106">
        <v>1000</v>
      </c>
      <c r="E81" s="106">
        <v>9000</v>
      </c>
      <c r="F81" s="106">
        <v>8228</v>
      </c>
      <c r="G81" s="105">
        <v>16290</v>
      </c>
      <c r="H81" s="106">
        <v>5000</v>
      </c>
      <c r="I81" s="106">
        <v>6160</v>
      </c>
      <c r="J81" s="106">
        <v>5000</v>
      </c>
      <c r="K81" s="112">
        <v>5000</v>
      </c>
      <c r="L81" s="116">
        <v>12198</v>
      </c>
      <c r="M81" s="116">
        <f>L81-K81</f>
        <v>7198</v>
      </c>
    </row>
    <row r="82" spans="1:13" x14ac:dyDescent="0.25">
      <c r="A82" s="110" t="s">
        <v>250</v>
      </c>
      <c r="B82" s="105">
        <f t="shared" ref="B82:L82" si="29">SUM(B80:B81)</f>
        <v>9041</v>
      </c>
      <c r="C82" s="105">
        <f t="shared" si="29"/>
        <v>5548</v>
      </c>
      <c r="D82" s="105">
        <f t="shared" si="29"/>
        <v>7088</v>
      </c>
      <c r="E82" s="105">
        <f t="shared" si="29"/>
        <v>15234</v>
      </c>
      <c r="F82" s="105">
        <f t="shared" si="29"/>
        <v>14762</v>
      </c>
      <c r="G82" s="105">
        <f t="shared" si="29"/>
        <v>22870</v>
      </c>
      <c r="H82" s="105">
        <f t="shared" si="29"/>
        <v>11609</v>
      </c>
      <c r="I82" s="105">
        <f t="shared" si="29"/>
        <v>13100</v>
      </c>
      <c r="J82" s="105">
        <f t="shared" si="29"/>
        <v>12317</v>
      </c>
      <c r="K82" s="105">
        <f t="shared" si="29"/>
        <v>12659</v>
      </c>
      <c r="L82" s="110">
        <f t="shared" si="29"/>
        <v>20176</v>
      </c>
      <c r="M82" s="116">
        <f>L82-K82</f>
        <v>7517</v>
      </c>
    </row>
    <row r="83" spans="1:13" x14ac:dyDescent="0.25">
      <c r="A83" s="110" t="s">
        <v>5</v>
      </c>
      <c r="B83" s="105">
        <v>7945</v>
      </c>
      <c r="C83" s="106">
        <v>7845</v>
      </c>
      <c r="D83" s="106">
        <v>9483</v>
      </c>
      <c r="E83" s="106">
        <v>9074</v>
      </c>
      <c r="F83" s="106">
        <v>7870</v>
      </c>
      <c r="G83" s="105">
        <v>6678</v>
      </c>
      <c r="H83" s="106">
        <v>8393</v>
      </c>
      <c r="I83" s="106">
        <v>7690</v>
      </c>
      <c r="J83" s="106">
        <v>7872</v>
      </c>
      <c r="K83" s="112">
        <v>7657</v>
      </c>
      <c r="L83" s="107">
        <v>8006</v>
      </c>
      <c r="M83" s="116">
        <f>L83-K83</f>
        <v>349</v>
      </c>
    </row>
    <row r="86" spans="1:13" ht="16.5" thickBot="1" x14ac:dyDescent="0.3">
      <c r="A86" s="111" t="s">
        <v>9</v>
      </c>
    </row>
    <row r="87" spans="1:13" x14ac:dyDescent="0.25">
      <c r="A87" s="102"/>
      <c r="B87" s="102">
        <v>2008</v>
      </c>
      <c r="C87" s="103">
        <v>2009</v>
      </c>
      <c r="D87" s="103">
        <v>2010</v>
      </c>
      <c r="E87" s="103">
        <v>2011</v>
      </c>
      <c r="F87" s="103">
        <v>2012</v>
      </c>
      <c r="G87" s="102">
        <v>2013</v>
      </c>
      <c r="H87" s="103">
        <v>2014</v>
      </c>
      <c r="I87" s="103">
        <v>2015</v>
      </c>
      <c r="J87" s="103">
        <v>2016</v>
      </c>
      <c r="K87" s="103">
        <v>2017</v>
      </c>
      <c r="L87" s="104">
        <v>2018</v>
      </c>
      <c r="M87" s="104" t="s">
        <v>280</v>
      </c>
    </row>
    <row r="88" spans="1:13" x14ac:dyDescent="0.25">
      <c r="A88" s="110" t="s">
        <v>246</v>
      </c>
      <c r="B88" s="105">
        <v>2174</v>
      </c>
      <c r="C88" s="106">
        <v>2414</v>
      </c>
      <c r="D88" s="106">
        <v>2671</v>
      </c>
      <c r="E88" s="106">
        <v>2938</v>
      </c>
      <c r="F88" s="106">
        <v>3182</v>
      </c>
      <c r="G88" s="105">
        <v>882</v>
      </c>
      <c r="H88" s="106">
        <v>1342</v>
      </c>
      <c r="I88" s="106">
        <v>1443</v>
      </c>
      <c r="J88" s="106">
        <v>1539</v>
      </c>
      <c r="K88" s="106">
        <v>1849</v>
      </c>
      <c r="L88" s="107">
        <v>1974</v>
      </c>
      <c r="M88" s="116">
        <f>L88-K88</f>
        <v>125</v>
      </c>
    </row>
    <row r="89" spans="1:13" x14ac:dyDescent="0.25">
      <c r="A89" s="110" t="s">
        <v>247</v>
      </c>
      <c r="B89" s="105">
        <v>1081</v>
      </c>
      <c r="C89" s="106">
        <v>826</v>
      </c>
      <c r="D89" s="106">
        <v>866</v>
      </c>
      <c r="E89" s="106">
        <v>77</v>
      </c>
      <c r="F89" s="106">
        <v>2364</v>
      </c>
      <c r="G89" s="105">
        <v>1605</v>
      </c>
      <c r="H89" s="106">
        <v>2195</v>
      </c>
      <c r="I89" s="106">
        <v>2237</v>
      </c>
      <c r="J89" s="106">
        <v>522</v>
      </c>
      <c r="K89" s="106">
        <v>117</v>
      </c>
      <c r="L89" s="107">
        <v>238</v>
      </c>
      <c r="M89" s="116">
        <f>L89-K89</f>
        <v>121</v>
      </c>
    </row>
    <row r="90" spans="1:13" x14ac:dyDescent="0.25">
      <c r="A90" s="110" t="s">
        <v>250</v>
      </c>
      <c r="B90" s="105">
        <f t="shared" ref="B90:L90" si="30">SUM(B88:B89)</f>
        <v>3255</v>
      </c>
      <c r="C90" s="105">
        <f t="shared" si="30"/>
        <v>3240</v>
      </c>
      <c r="D90" s="105">
        <f t="shared" si="30"/>
        <v>3537</v>
      </c>
      <c r="E90" s="105">
        <f t="shared" si="30"/>
        <v>3015</v>
      </c>
      <c r="F90" s="105">
        <f t="shared" si="30"/>
        <v>5546</v>
      </c>
      <c r="G90" s="105">
        <f t="shared" si="30"/>
        <v>2487</v>
      </c>
      <c r="H90" s="105">
        <f t="shared" si="30"/>
        <v>3537</v>
      </c>
      <c r="I90" s="105">
        <f t="shared" si="30"/>
        <v>3680</v>
      </c>
      <c r="J90" s="105">
        <f t="shared" si="30"/>
        <v>2061</v>
      </c>
      <c r="K90" s="105">
        <f t="shared" si="30"/>
        <v>1966</v>
      </c>
      <c r="L90" s="110">
        <f t="shared" si="30"/>
        <v>2212</v>
      </c>
      <c r="M90" s="116">
        <f>L90-K90</f>
        <v>246</v>
      </c>
    </row>
    <row r="91" spans="1:13" x14ac:dyDescent="0.25">
      <c r="A91" s="110" t="s">
        <v>5</v>
      </c>
      <c r="B91" s="105">
        <v>2689</v>
      </c>
      <c r="C91" s="106">
        <v>2744</v>
      </c>
      <c r="D91" s="106">
        <v>3724</v>
      </c>
      <c r="E91" s="106">
        <v>4129</v>
      </c>
      <c r="F91" s="106">
        <v>4322</v>
      </c>
      <c r="G91" s="105">
        <v>1371</v>
      </c>
      <c r="H91" s="106">
        <v>1345</v>
      </c>
      <c r="I91" s="106">
        <v>1405</v>
      </c>
      <c r="J91" s="106">
        <v>1447</v>
      </c>
      <c r="K91" s="106">
        <v>2260</v>
      </c>
      <c r="L91" s="107">
        <v>2300</v>
      </c>
      <c r="M91" s="116">
        <f>L91-K91</f>
        <v>40</v>
      </c>
    </row>
  </sheetData>
  <sheetProtection sheet="1" objects="1" scenarios="1"/>
  <mergeCells count="60">
    <mergeCell ref="A45:L45"/>
    <mergeCell ref="A47:L47"/>
    <mergeCell ref="A46:L46"/>
    <mergeCell ref="A48:A50"/>
    <mergeCell ref="B48:B50"/>
    <mergeCell ref="C48:C50"/>
    <mergeCell ref="D48:D50"/>
    <mergeCell ref="E48:E50"/>
    <mergeCell ref="F48:F50"/>
    <mergeCell ref="G48:G50"/>
    <mergeCell ref="H48:H50"/>
    <mergeCell ref="I48:I50"/>
    <mergeCell ref="J48:J50"/>
    <mergeCell ref="K48:K50"/>
    <mergeCell ref="L48:L50"/>
    <mergeCell ref="D6:D8"/>
    <mergeCell ref="H6:H8"/>
    <mergeCell ref="J6:J8"/>
    <mergeCell ref="L6:L8"/>
    <mergeCell ref="A3:L3"/>
    <mergeCell ref="I6:I8"/>
    <mergeCell ref="G6:G8"/>
    <mergeCell ref="F6:F8"/>
    <mergeCell ref="B6:B8"/>
    <mergeCell ref="A6:A8"/>
    <mergeCell ref="A4:L4"/>
    <mergeCell ref="A5:L5"/>
    <mergeCell ref="K6:K8"/>
    <mergeCell ref="C6:C8"/>
    <mergeCell ref="E6:E8"/>
    <mergeCell ref="A17:L17"/>
    <mergeCell ref="A18:L18"/>
    <mergeCell ref="A19:L19"/>
    <mergeCell ref="A20:A22"/>
    <mergeCell ref="B20:B22"/>
    <mergeCell ref="C20:C22"/>
    <mergeCell ref="D20:D22"/>
    <mergeCell ref="E20:E22"/>
    <mergeCell ref="F20:F22"/>
    <mergeCell ref="G20:G22"/>
    <mergeCell ref="H20:H22"/>
    <mergeCell ref="I20:I22"/>
    <mergeCell ref="J20:J22"/>
    <mergeCell ref="K20:K22"/>
    <mergeCell ref="L20:L22"/>
    <mergeCell ref="A31:L31"/>
    <mergeCell ref="A32:L32"/>
    <mergeCell ref="A33:L33"/>
    <mergeCell ref="A34:A36"/>
    <mergeCell ref="B34:B36"/>
    <mergeCell ref="C34:C36"/>
    <mergeCell ref="D34:D36"/>
    <mergeCell ref="E34:E36"/>
    <mergeCell ref="F34:F36"/>
    <mergeCell ref="G34:G36"/>
    <mergeCell ref="H34:H36"/>
    <mergeCell ref="I34:I36"/>
    <mergeCell ref="J34:J36"/>
    <mergeCell ref="K34:K36"/>
    <mergeCell ref="L34:L3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Fig. 1 Corp Tax Rev</vt:lpstr>
      <vt:lpstr>Figs. 2-5 Global ETR</vt:lpstr>
      <vt:lpstr>Fig. 6 Taxable Income</vt:lpstr>
      <vt:lpstr>Fig. 7 TaxBreaksPastOffshore</vt:lpstr>
      <vt:lpstr>Fig. 8-11 Profit Margins</vt:lpstr>
      <vt:lpstr>Subsidiary List</vt:lpstr>
      <vt:lpstr>Fig. 12 TCJATaxBreaksTotal</vt:lpstr>
      <vt:lpstr>HumanPriceofTaxBreaks</vt:lpstr>
      <vt:lpstr>Figs. 13-17</vt:lpstr>
      <vt:lpstr>MerckSECForm4</vt:lpstr>
      <vt:lpstr>LobbyingExpenditures</vt:lpstr>
      <vt:lpstr>MerckSECForm4!_edn1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 Lusiani - CESR</dc:creator>
  <cp:lastModifiedBy>Glynnis O'Gorman</cp:lastModifiedBy>
  <dcterms:created xsi:type="dcterms:W3CDTF">2019-03-02T16:42:00Z</dcterms:created>
  <dcterms:modified xsi:type="dcterms:W3CDTF">2019-04-09T17:49:49Z</dcterms:modified>
</cp:coreProperties>
</file>